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9320" windowHeight="7995" tabRatio="898" activeTab="9"/>
  </bookViews>
  <sheets>
    <sheet name="Datos" sheetId="10" r:id="rId1"/>
    <sheet name="Superficie" sheetId="8" r:id="rId2"/>
    <sheet name="Almacenamiento trozas" sheetId="9" r:id="rId3"/>
    <sheet name="Plantación" sheetId="17" r:id="rId4"/>
    <sheet name="Inversión &amp; Equipamiento" sheetId="1" r:id="rId5"/>
    <sheet name="Cadena de Valor" sheetId="5" r:id="rId6"/>
    <sheet name="Mano de obra" sheetId="6" r:id="rId7"/>
    <sheet name="Gastos previos" sheetId="12" r:id="rId8"/>
    <sheet name="Pto Equilibrio" sheetId="24" r:id="rId9"/>
    <sheet name="CASH FLOW (US$)" sheetId="28" r:id="rId10"/>
    <sheet name="BALANCE" sheetId="22" r:id="rId11"/>
    <sheet name="ESTADO USOS &amp; FUENTES OPERATIVA" sheetId="30" r:id="rId12"/>
    <sheet name="Costo del Capital" sheetId="25" r:id="rId13"/>
    <sheet name="Prestamo" sheetId="26" r:id="rId14"/>
    <sheet name="SENSIBILIDAD" sheetId="19" r:id="rId15"/>
    <sheet name="Hoja2" sheetId="27" r:id="rId16"/>
  </sheets>
  <definedNames>
    <definedName name="_xlnm._FilterDatabase" localSheetId="6" hidden="1">'Mano de obra'!$B$29:$F$56</definedName>
    <definedName name="solver_adj" localSheetId="10" hidden="1">BALANCE!$G$18</definedName>
    <definedName name="solver_cvg" localSheetId="10" hidden="1">0.0001</definedName>
    <definedName name="solver_drv" localSheetId="10" hidden="1">2</definedName>
    <definedName name="solver_eng" localSheetId="10" hidden="1">1</definedName>
    <definedName name="solver_est" localSheetId="10" hidden="1">1</definedName>
    <definedName name="solver_itr" localSheetId="10" hidden="1">2147483647</definedName>
    <definedName name="solver_lhs1" localSheetId="10" hidden="1">BALANCE!$C$50</definedName>
    <definedName name="solver_mip" localSheetId="10" hidden="1">2147483647</definedName>
    <definedName name="solver_mni" localSheetId="10" hidden="1">30</definedName>
    <definedName name="solver_mrt" localSheetId="10" hidden="1">0.075</definedName>
    <definedName name="solver_msl" localSheetId="10" hidden="1">2</definedName>
    <definedName name="solver_neg" localSheetId="10" hidden="1">1</definedName>
    <definedName name="solver_nod" localSheetId="10" hidden="1">2147483647</definedName>
    <definedName name="solver_num" localSheetId="10" hidden="1">0</definedName>
    <definedName name="solver_nwt" localSheetId="10" hidden="1">1</definedName>
    <definedName name="solver_opt" localSheetId="10" hidden="1">BALANCE!$G$50</definedName>
    <definedName name="solver_pre" localSheetId="10" hidden="1">0.000001</definedName>
    <definedName name="solver_rbv" localSheetId="10" hidden="1">2</definedName>
    <definedName name="solver_rel1" localSheetId="10" hidden="1">2</definedName>
    <definedName name="solver_rhs1" localSheetId="10" hidden="1">0</definedName>
    <definedName name="solver_rlx" localSheetId="10" hidden="1">2</definedName>
    <definedName name="solver_rsd" localSheetId="10" hidden="1">0</definedName>
    <definedName name="solver_scl" localSheetId="10" hidden="1">2</definedName>
    <definedName name="solver_sho" localSheetId="10" hidden="1">2</definedName>
    <definedName name="solver_ssz" localSheetId="10" hidden="1">100</definedName>
    <definedName name="solver_tim" localSheetId="10" hidden="1">2147483647</definedName>
    <definedName name="solver_tol" localSheetId="10" hidden="1">0.01</definedName>
    <definedName name="solver_typ" localSheetId="10" hidden="1">3</definedName>
    <definedName name="solver_val" localSheetId="10" hidden="1">0</definedName>
    <definedName name="solver_ver" localSheetId="10" hidden="1">3</definedName>
  </definedNames>
  <calcPr calcId="145621"/>
</workbook>
</file>

<file path=xl/calcChain.xml><?xml version="1.0" encoding="utf-8"?>
<calcChain xmlns="http://schemas.openxmlformats.org/spreadsheetml/2006/main">
  <c r="E110" i="28" l="1"/>
  <c r="D23" i="24" l="1"/>
  <c r="E23" i="24"/>
  <c r="F23" i="24"/>
  <c r="G23" i="24"/>
  <c r="C23" i="24"/>
  <c r="C22" i="24"/>
  <c r="D21" i="24"/>
  <c r="E21" i="24"/>
  <c r="F21" i="24"/>
  <c r="G21" i="24"/>
  <c r="D20" i="30" l="1"/>
  <c r="E20" i="30"/>
  <c r="F20" i="30"/>
  <c r="G20" i="30"/>
  <c r="H20" i="30"/>
  <c r="I20" i="30"/>
  <c r="J20" i="30"/>
  <c r="K20" i="30"/>
  <c r="L20" i="30"/>
  <c r="C20" i="30"/>
  <c r="C47" i="22"/>
  <c r="C17" i="30" l="1"/>
  <c r="E91" i="28" l="1"/>
  <c r="F25" i="28"/>
  <c r="G25" i="28" s="1"/>
  <c r="H25" i="28" s="1"/>
  <c r="I25" i="28" s="1"/>
  <c r="J25" i="28" s="1"/>
  <c r="K25" i="28" s="1"/>
  <c r="L25" i="28" s="1"/>
  <c r="M25" i="28" s="1"/>
  <c r="N25" i="28" s="1"/>
  <c r="I12" i="6" l="1"/>
  <c r="J12" i="6"/>
  <c r="D228" i="28"/>
  <c r="D226" i="28"/>
  <c r="D223" i="28"/>
  <c r="D213" i="28"/>
  <c r="D214" i="28" s="1"/>
  <c r="B4" i="30" l="1"/>
  <c r="B3" i="30"/>
  <c r="B17" i="5" l="1"/>
  <c r="B16" i="5"/>
  <c r="B15" i="5"/>
  <c r="B14" i="5"/>
  <c r="B13" i="5"/>
  <c r="C13" i="5"/>
  <c r="C14" i="5" s="1"/>
  <c r="C15" i="5" s="1"/>
  <c r="C16" i="5" s="1"/>
  <c r="C17" i="5" s="1"/>
  <c r="B7" i="5"/>
  <c r="B6" i="5"/>
  <c r="B5" i="5"/>
  <c r="B4" i="5"/>
  <c r="B3" i="5"/>
  <c r="B11" i="30" l="1"/>
  <c r="B8" i="30"/>
  <c r="B5" i="30"/>
  <c r="I16" i="30"/>
  <c r="I17" i="30" s="1"/>
  <c r="J16" i="30"/>
  <c r="J17" i="30" s="1"/>
  <c r="K16" i="30"/>
  <c r="L16" i="30"/>
  <c r="L17" i="30" s="1"/>
  <c r="C16" i="30"/>
  <c r="D23" i="30"/>
  <c r="E23" i="30"/>
  <c r="H23" i="30"/>
  <c r="I23" i="30"/>
  <c r="J23" i="30"/>
  <c r="K23" i="30"/>
  <c r="L23" i="30"/>
  <c r="F23" i="30"/>
  <c r="G23" i="30"/>
  <c r="K17" i="30"/>
  <c r="B12" i="30" l="1"/>
  <c r="E180" i="28"/>
  <c r="F117" i="28" l="1"/>
  <c r="G117" i="28"/>
  <c r="H117" i="28"/>
  <c r="I117" i="28"/>
  <c r="J117" i="28"/>
  <c r="K117" i="28"/>
  <c r="L117" i="28"/>
  <c r="M117" i="28"/>
  <c r="N117" i="28"/>
  <c r="E117" i="28"/>
  <c r="E98" i="28"/>
  <c r="C123" i="28"/>
  <c r="F123" i="28" s="1"/>
  <c r="I6" i="6"/>
  <c r="J6" i="6"/>
  <c r="M123" i="28" l="1"/>
  <c r="I123" i="28"/>
  <c r="L123" i="28"/>
  <c r="H123" i="28"/>
  <c r="E123" i="28"/>
  <c r="K123" i="28"/>
  <c r="G123" i="28"/>
  <c r="N123" i="28"/>
  <c r="J123" i="28"/>
  <c r="E49" i="28"/>
  <c r="I39" i="22"/>
  <c r="J39" i="22"/>
  <c r="K39" i="22"/>
  <c r="L39" i="22"/>
  <c r="B31" i="22"/>
  <c r="G210" i="28"/>
  <c r="H210" i="28"/>
  <c r="E46" i="28" l="1"/>
  <c r="C2" i="26"/>
  <c r="C8" i="26" l="1"/>
  <c r="F10" i="26" s="1"/>
  <c r="D23" i="27"/>
  <c r="D19" i="27"/>
  <c r="D12" i="27"/>
  <c r="D10" i="27"/>
  <c r="D3" i="25"/>
  <c r="C10" i="26"/>
  <c r="B10" i="26"/>
  <c r="G8" i="26" l="1"/>
  <c r="C22" i="30"/>
  <c r="C23" i="30" s="1"/>
  <c r="C39" i="22"/>
  <c r="J46" i="28"/>
  <c r="C6" i="28"/>
  <c r="C3" i="5"/>
  <c r="H74" i="28" l="1"/>
  <c r="I74" i="28"/>
  <c r="J74" i="28"/>
  <c r="K74" i="28"/>
  <c r="L74" i="28"/>
  <c r="M74" i="28"/>
  <c r="N74" i="28"/>
  <c r="C125" i="28" l="1"/>
  <c r="H125" i="28" s="1"/>
  <c r="J7" i="6"/>
  <c r="I7" i="6"/>
  <c r="D224" i="28"/>
  <c r="B20" i="22"/>
  <c r="B17" i="22" s="1"/>
  <c r="F180" i="28"/>
  <c r="G180" i="28"/>
  <c r="H180" i="28"/>
  <c r="I180" i="28"/>
  <c r="J180" i="28"/>
  <c r="K180" i="28"/>
  <c r="L180" i="28"/>
  <c r="M180" i="28"/>
  <c r="N180" i="28"/>
  <c r="C38" i="22"/>
  <c r="I38" i="22"/>
  <c r="J38" i="22"/>
  <c r="K38" i="22"/>
  <c r="L38" i="22"/>
  <c r="B38" i="22"/>
  <c r="N125" i="28" l="1"/>
  <c r="M125" i="28"/>
  <c r="I125" i="28"/>
  <c r="G125" i="28"/>
  <c r="K125" i="28"/>
  <c r="F125" i="28"/>
  <c r="E125" i="28"/>
  <c r="J125" i="28"/>
  <c r="L125" i="28"/>
  <c r="F56" i="28"/>
  <c r="G56" i="28"/>
  <c r="H56" i="28"/>
  <c r="I56" i="28"/>
  <c r="J56" i="28"/>
  <c r="K56" i="28"/>
  <c r="L56" i="28"/>
  <c r="M56" i="28"/>
  <c r="N56" i="28"/>
  <c r="F57" i="28"/>
  <c r="G57" i="28"/>
  <c r="H57" i="28"/>
  <c r="I57" i="28"/>
  <c r="J57" i="28"/>
  <c r="K57" i="28"/>
  <c r="L57" i="28"/>
  <c r="M57" i="28"/>
  <c r="N57" i="28"/>
  <c r="F58" i="28"/>
  <c r="G58" i="28"/>
  <c r="H58" i="28"/>
  <c r="I58" i="28"/>
  <c r="J58" i="28"/>
  <c r="K58" i="28"/>
  <c r="L58" i="28"/>
  <c r="M58" i="28"/>
  <c r="N58" i="28"/>
  <c r="F59" i="28"/>
  <c r="G59" i="28"/>
  <c r="H59" i="28"/>
  <c r="I59" i="28"/>
  <c r="J59" i="28"/>
  <c r="K59" i="28"/>
  <c r="L59" i="28"/>
  <c r="M59" i="28"/>
  <c r="N59" i="28"/>
  <c r="F60" i="28"/>
  <c r="G60" i="28"/>
  <c r="H60" i="28"/>
  <c r="I60" i="28"/>
  <c r="J60" i="28"/>
  <c r="K60" i="28"/>
  <c r="L60" i="28"/>
  <c r="M60" i="28"/>
  <c r="N60" i="28"/>
  <c r="E60" i="28"/>
  <c r="E59" i="28"/>
  <c r="E58" i="28"/>
  <c r="E56" i="28"/>
  <c r="E57" i="28"/>
  <c r="C21" i="24" l="1"/>
  <c r="C16" i="28" l="1"/>
  <c r="E63" i="28" s="1"/>
  <c r="C15" i="28"/>
  <c r="E62" i="28" s="1"/>
  <c r="F171" i="28" l="1"/>
  <c r="D22" i="24" s="1"/>
  <c r="G171" i="28"/>
  <c r="E22" i="24" s="1"/>
  <c r="H171" i="28"/>
  <c r="F22" i="24" s="1"/>
  <c r="I171" i="28"/>
  <c r="G22" i="24" s="1"/>
  <c r="J171" i="28"/>
  <c r="K171" i="28"/>
  <c r="L171" i="28"/>
  <c r="M171" i="28"/>
  <c r="N171" i="28"/>
  <c r="F210" i="28" l="1"/>
  <c r="E210" i="28"/>
  <c r="G168" i="28"/>
  <c r="E20" i="24" s="1"/>
  <c r="H168" i="28"/>
  <c r="F20" i="24" s="1"/>
  <c r="I168" i="28"/>
  <c r="G20" i="24" s="1"/>
  <c r="J168" i="28"/>
  <c r="K168" i="28"/>
  <c r="L168" i="28"/>
  <c r="M168" i="28"/>
  <c r="N168" i="28"/>
  <c r="F168" i="28"/>
  <c r="D20" i="24" s="1"/>
  <c r="E168" i="28"/>
  <c r="F91" i="28"/>
  <c r="G91" i="28"/>
  <c r="H91" i="28"/>
  <c r="I91" i="28"/>
  <c r="J91" i="28"/>
  <c r="K91" i="28"/>
  <c r="L91" i="28"/>
  <c r="M91" i="28"/>
  <c r="N91" i="28"/>
  <c r="E48" i="28"/>
  <c r="H46" i="28"/>
  <c r="H48" i="28" s="1"/>
  <c r="I46" i="28"/>
  <c r="I48" i="28" s="1"/>
  <c r="J48" i="28"/>
  <c r="K46" i="28"/>
  <c r="K48" i="28" s="1"/>
  <c r="L46" i="28"/>
  <c r="L48" i="28" s="1"/>
  <c r="M46" i="28"/>
  <c r="M48" i="28" s="1"/>
  <c r="N46" i="28"/>
  <c r="N48" i="28" s="1"/>
  <c r="G46" i="28"/>
  <c r="G48" i="28" s="1"/>
  <c r="F46" i="28"/>
  <c r="F48" i="28" s="1"/>
  <c r="D84" i="28" l="1"/>
  <c r="D220" i="28"/>
  <c r="D218" i="28"/>
  <c r="C20" i="24"/>
  <c r="F152" i="28"/>
  <c r="G152" i="28"/>
  <c r="H152" i="28"/>
  <c r="I152" i="28"/>
  <c r="J152" i="28"/>
  <c r="K152" i="28"/>
  <c r="L152" i="28"/>
  <c r="M152" i="28"/>
  <c r="N152" i="28"/>
  <c r="E152" i="28"/>
  <c r="E146" i="28"/>
  <c r="C149" i="28"/>
  <c r="C143" i="28"/>
  <c r="C138" i="28"/>
  <c r="F134" i="28" s="1"/>
  <c r="F110" i="28"/>
  <c r="G110" i="28"/>
  <c r="H110" i="28"/>
  <c r="I110" i="28"/>
  <c r="J110" i="28"/>
  <c r="K110" i="28"/>
  <c r="L110" i="28"/>
  <c r="M110" i="28"/>
  <c r="N110" i="28"/>
  <c r="C8" i="28"/>
  <c r="B13" i="10"/>
  <c r="B15" i="10" s="1"/>
  <c r="E28" i="28"/>
  <c r="E200" i="28" s="1"/>
  <c r="F28" i="28"/>
  <c r="N146" i="28"/>
  <c r="M146" i="28"/>
  <c r="L146" i="28"/>
  <c r="K146" i="28"/>
  <c r="J146" i="28"/>
  <c r="I146" i="28"/>
  <c r="H146" i="28"/>
  <c r="G146" i="28"/>
  <c r="F146" i="28"/>
  <c r="N98" i="28"/>
  <c r="M98" i="28"/>
  <c r="L98" i="28"/>
  <c r="K98" i="28"/>
  <c r="J98" i="28"/>
  <c r="I98" i="28"/>
  <c r="H98" i="28"/>
  <c r="G98" i="28"/>
  <c r="F98" i="28"/>
  <c r="F54" i="28"/>
  <c r="G54" i="28" s="1"/>
  <c r="H54" i="28" s="1"/>
  <c r="I54" i="28" s="1"/>
  <c r="J54" i="28" s="1"/>
  <c r="K54" i="28" s="1"/>
  <c r="L54" i="28" s="1"/>
  <c r="M54" i="28" s="1"/>
  <c r="N54" i="28" s="1"/>
  <c r="N28" i="28"/>
  <c r="M28" i="28"/>
  <c r="L28" i="28"/>
  <c r="K28" i="28"/>
  <c r="J28" i="28"/>
  <c r="I28" i="28"/>
  <c r="H28" i="28"/>
  <c r="G28" i="28"/>
  <c r="E26" i="28"/>
  <c r="F10" i="28"/>
  <c r="F11" i="28" s="1"/>
  <c r="C142" i="28" s="1"/>
  <c r="F200" i="28" l="1"/>
  <c r="E89" i="28"/>
  <c r="D216" i="28"/>
  <c r="D234" i="28" s="1"/>
  <c r="H200" i="28"/>
  <c r="G200" i="28"/>
  <c r="H31" i="28"/>
  <c r="F31" i="28"/>
  <c r="H62" i="28"/>
  <c r="L62" i="28"/>
  <c r="F62" i="28"/>
  <c r="J62" i="28"/>
  <c r="N62" i="28"/>
  <c r="G62" i="28"/>
  <c r="K62" i="28"/>
  <c r="I62" i="28"/>
  <c r="M62" i="28"/>
  <c r="E29" i="28"/>
  <c r="E153" i="28" s="1"/>
  <c r="G63" i="28"/>
  <c r="K63" i="28"/>
  <c r="I63" i="28"/>
  <c r="M63" i="28"/>
  <c r="F63" i="28"/>
  <c r="J63" i="28"/>
  <c r="N63" i="28"/>
  <c r="H63" i="28"/>
  <c r="L63" i="28"/>
  <c r="M134" i="28"/>
  <c r="I134" i="28"/>
  <c r="L134" i="28"/>
  <c r="H134" i="28"/>
  <c r="E134" i="28"/>
  <c r="K134" i="28"/>
  <c r="G134" i="28"/>
  <c r="N134" i="28"/>
  <c r="J134" i="28"/>
  <c r="G89" i="28"/>
  <c r="L89" i="28"/>
  <c r="I89" i="28"/>
  <c r="M89" i="28"/>
  <c r="J89" i="28"/>
  <c r="N89" i="28"/>
  <c r="H49" i="28"/>
  <c r="M49" i="28"/>
  <c r="L49" i="28"/>
  <c r="E30" i="28"/>
  <c r="L31" i="28"/>
  <c r="E31" i="28"/>
  <c r="K31" i="28"/>
  <c r="G31" i="28"/>
  <c r="N31" i="28"/>
  <c r="J31" i="28"/>
  <c r="J49" i="28"/>
  <c r="N49" i="28"/>
  <c r="M31" i="28"/>
  <c r="I31" i="28"/>
  <c r="F49" i="28"/>
  <c r="I49" i="28"/>
  <c r="G49" i="28"/>
  <c r="K49" i="28"/>
  <c r="K89" i="28"/>
  <c r="H89" i="28"/>
  <c r="M142" i="28"/>
  <c r="M140" i="28" s="1"/>
  <c r="I142" i="28"/>
  <c r="I140" i="28" s="1"/>
  <c r="E142" i="28"/>
  <c r="E140" i="28" s="1"/>
  <c r="L142" i="28"/>
  <c r="L140" i="28" s="1"/>
  <c r="G142" i="28"/>
  <c r="G140" i="28" s="1"/>
  <c r="J142" i="28"/>
  <c r="J140" i="28" s="1"/>
  <c r="N142" i="28"/>
  <c r="N140" i="28" s="1"/>
  <c r="F142" i="28"/>
  <c r="F140" i="28" s="1"/>
  <c r="K142" i="28"/>
  <c r="K140" i="28" s="1"/>
  <c r="H142" i="28"/>
  <c r="H140" i="28" s="1"/>
  <c r="F89" i="28"/>
  <c r="D24" i="27"/>
  <c r="E12" i="27"/>
  <c r="E15" i="27"/>
  <c r="E17" i="27"/>
  <c r="E10" i="27"/>
  <c r="E19" i="27" s="1"/>
  <c r="E20" i="27" s="1"/>
  <c r="E8" i="27"/>
  <c r="D20" i="27"/>
  <c r="D17" i="27"/>
  <c r="E90" i="28" l="1"/>
  <c r="C6" i="24" s="1"/>
  <c r="E135" i="28"/>
  <c r="C9" i="24" s="1"/>
  <c r="F33" i="22"/>
  <c r="L33" i="22"/>
  <c r="L9" i="22" s="1"/>
  <c r="E157" i="28"/>
  <c r="C13" i="24" s="1"/>
  <c r="E160" i="28"/>
  <c r="C14" i="24" s="1"/>
  <c r="E111" i="28"/>
  <c r="C8" i="24" s="1"/>
  <c r="D33" i="22"/>
  <c r="E141" i="28"/>
  <c r="C10" i="24" s="1"/>
  <c r="E33" i="22"/>
  <c r="E9" i="22" s="1"/>
  <c r="E147" i="28"/>
  <c r="C11" i="24" s="1"/>
  <c r="E207" i="28"/>
  <c r="H33" i="22"/>
  <c r="K33" i="22"/>
  <c r="G33" i="22"/>
  <c r="I33" i="22"/>
  <c r="J33" i="22"/>
  <c r="C33" i="22"/>
  <c r="C9" i="30" s="1"/>
  <c r="C11" i="30" s="1"/>
  <c r="F207" i="28"/>
  <c r="H207" i="28"/>
  <c r="G207" i="28"/>
  <c r="E41" i="28"/>
  <c r="E72" i="28" s="1"/>
  <c r="E40" i="28"/>
  <c r="E71" i="28" s="1"/>
  <c r="E37" i="28"/>
  <c r="E68" i="28" s="1"/>
  <c r="E78" i="28" s="1"/>
  <c r="E36" i="28"/>
  <c r="E67" i="28" s="1"/>
  <c r="E77" i="28" s="1"/>
  <c r="E39" i="28"/>
  <c r="E70" i="28" s="1"/>
  <c r="E80" i="28" s="1"/>
  <c r="E35" i="28"/>
  <c r="E38" i="28"/>
  <c r="E69" i="28" s="1"/>
  <c r="E79" i="28" s="1"/>
  <c r="F26" i="28"/>
  <c r="C12" i="24"/>
  <c r="F30" i="28"/>
  <c r="F29" i="28"/>
  <c r="F141" i="28" s="1"/>
  <c r="D10" i="24" s="1"/>
  <c r="E9" i="30" l="1"/>
  <c r="E11" i="30" s="1"/>
  <c r="D9" i="22"/>
  <c r="F9" i="30"/>
  <c r="F11" i="30" s="1"/>
  <c r="G9" i="30"/>
  <c r="G11" i="30" s="1"/>
  <c r="F9" i="22"/>
  <c r="F157" i="28"/>
  <c r="D13" i="24" s="1"/>
  <c r="F160" i="28"/>
  <c r="D14" i="24" s="1"/>
  <c r="F153" i="28"/>
  <c r="D12" i="24" s="1"/>
  <c r="F147" i="28"/>
  <c r="D11" i="24" s="1"/>
  <c r="F135" i="28"/>
  <c r="D9" i="24" s="1"/>
  <c r="L31" i="22"/>
  <c r="F90" i="28"/>
  <c r="K9" i="30"/>
  <c r="K11" i="30" s="1"/>
  <c r="J9" i="30"/>
  <c r="J11" i="30" s="1"/>
  <c r="L9" i="30"/>
  <c r="L11" i="30" s="1"/>
  <c r="I9" i="30"/>
  <c r="I11" i="30" s="1"/>
  <c r="D9" i="30"/>
  <c r="D11" i="30" s="1"/>
  <c r="H9" i="30"/>
  <c r="H11" i="30" s="1"/>
  <c r="K9" i="22"/>
  <c r="J31" i="22"/>
  <c r="J42" i="22" s="1"/>
  <c r="H9" i="22"/>
  <c r="I31" i="22"/>
  <c r="I42" i="22" s="1"/>
  <c r="L42" i="22"/>
  <c r="J9" i="22"/>
  <c r="K31" i="22"/>
  <c r="I9" i="22"/>
  <c r="G9" i="22"/>
  <c r="C9" i="22"/>
  <c r="F37" i="28"/>
  <c r="F68" i="28" s="1"/>
  <c r="F78" i="28" s="1"/>
  <c r="F38" i="28"/>
  <c r="F69" i="28" s="1"/>
  <c r="F79" i="28" s="1"/>
  <c r="F35" i="28"/>
  <c r="F39" i="28"/>
  <c r="F70" i="28" s="1"/>
  <c r="F80" i="28" s="1"/>
  <c r="F36" i="28"/>
  <c r="F67" i="28" s="1"/>
  <c r="F77" i="28" s="1"/>
  <c r="E66" i="28"/>
  <c r="E76" i="28" s="1"/>
  <c r="E74" i="28" s="1"/>
  <c r="E61" i="28"/>
  <c r="H26" i="28"/>
  <c r="H30" i="28"/>
  <c r="H29" i="28"/>
  <c r="G26" i="28"/>
  <c r="D6" i="24"/>
  <c r="F40" i="28"/>
  <c r="F71" i="28" s="1"/>
  <c r="F41" i="28"/>
  <c r="F72" i="28" s="1"/>
  <c r="G30" i="28"/>
  <c r="G29" i="28"/>
  <c r="F111" i="28"/>
  <c r="D8" i="24" s="1"/>
  <c r="B15" i="25"/>
  <c r="D4" i="25" s="1"/>
  <c r="G157" i="28" l="1"/>
  <c r="E13" i="24" s="1"/>
  <c r="G160" i="28"/>
  <c r="E14" i="24" s="1"/>
  <c r="G153" i="28"/>
  <c r="E12" i="24" s="1"/>
  <c r="G147" i="28"/>
  <c r="E11" i="24" s="1"/>
  <c r="G135" i="28"/>
  <c r="E9" i="24" s="1"/>
  <c r="G90" i="28"/>
  <c r="E6" i="24" s="1"/>
  <c r="G141" i="28"/>
  <c r="E10" i="24" s="1"/>
  <c r="H160" i="28"/>
  <c r="F14" i="24" s="1"/>
  <c r="H157" i="28"/>
  <c r="F13" i="24" s="1"/>
  <c r="H147" i="28"/>
  <c r="F11" i="24" s="1"/>
  <c r="H111" i="28"/>
  <c r="H153" i="28"/>
  <c r="F12" i="24" s="1"/>
  <c r="H135" i="28"/>
  <c r="F9" i="24" s="1"/>
  <c r="H90" i="28"/>
  <c r="F6" i="24" s="1"/>
  <c r="H141" i="28"/>
  <c r="F10" i="24" s="1"/>
  <c r="K42" i="22"/>
  <c r="C3" i="24"/>
  <c r="G36" i="28"/>
  <c r="G67" i="28" s="1"/>
  <c r="G77" i="28" s="1"/>
  <c r="G37" i="28"/>
  <c r="G68" i="28" s="1"/>
  <c r="G78" i="28" s="1"/>
  <c r="G38" i="28"/>
  <c r="G69" i="28" s="1"/>
  <c r="G79" i="28" s="1"/>
  <c r="G35" i="28"/>
  <c r="G39" i="28"/>
  <c r="G70" i="28" s="1"/>
  <c r="G80" i="28" s="1"/>
  <c r="H35" i="28"/>
  <c r="H36" i="28"/>
  <c r="H67" i="28" s="1"/>
  <c r="H37" i="28"/>
  <c r="H68" i="28" s="1"/>
  <c r="H38" i="28"/>
  <c r="H69" i="28" s="1"/>
  <c r="H39" i="28"/>
  <c r="H70" i="28" s="1"/>
  <c r="E65" i="28"/>
  <c r="F66" i="28"/>
  <c r="F76" i="28" s="1"/>
  <c r="F74" i="28" s="1"/>
  <c r="F61" i="28"/>
  <c r="F8" i="24"/>
  <c r="H40" i="28"/>
  <c r="H71" i="28" s="1"/>
  <c r="H41" i="28"/>
  <c r="H72" i="28" s="1"/>
  <c r="I30" i="28"/>
  <c r="I26" i="28"/>
  <c r="I29" i="28"/>
  <c r="D197" i="28"/>
  <c r="G41" i="28"/>
  <c r="G72" i="28" s="1"/>
  <c r="G40" i="28"/>
  <c r="G71" i="28" s="1"/>
  <c r="G111" i="28"/>
  <c r="E8" i="24" s="1"/>
  <c r="I160" i="28" l="1"/>
  <c r="G14" i="24" s="1"/>
  <c r="I157" i="28"/>
  <c r="G13" i="24" s="1"/>
  <c r="I147" i="28"/>
  <c r="G11" i="24" s="1"/>
  <c r="I153" i="28"/>
  <c r="G12" i="24" s="1"/>
  <c r="I90" i="28"/>
  <c r="G6" i="24" s="1"/>
  <c r="I135" i="28"/>
  <c r="G9" i="24" s="1"/>
  <c r="I141" i="28"/>
  <c r="G10" i="24" s="1"/>
  <c r="E53" i="28"/>
  <c r="E204" i="28" s="1"/>
  <c r="E173" i="28"/>
  <c r="E166" i="28" s="1"/>
  <c r="F65" i="28"/>
  <c r="G61" i="28"/>
  <c r="G66" i="28"/>
  <c r="G76" i="28" s="1"/>
  <c r="G74" i="28" s="1"/>
  <c r="I38" i="28"/>
  <c r="I69" i="28" s="1"/>
  <c r="I35" i="28"/>
  <c r="I39" i="28"/>
  <c r="I70" i="28" s="1"/>
  <c r="I36" i="28"/>
  <c r="I67" i="28" s="1"/>
  <c r="I37" i="28"/>
  <c r="I68" i="28" s="1"/>
  <c r="H66" i="28"/>
  <c r="H65" i="28" s="1"/>
  <c r="H61" i="28"/>
  <c r="J30" i="28"/>
  <c r="J26" i="28"/>
  <c r="J29" i="28"/>
  <c r="I111" i="28"/>
  <c r="G8" i="24" s="1"/>
  <c r="I40" i="28"/>
  <c r="I71" i="28" s="1"/>
  <c r="I41" i="28"/>
  <c r="I72" i="28" s="1"/>
  <c r="D3" i="24"/>
  <c r="J160" i="28" l="1"/>
  <c r="J157" i="28"/>
  <c r="J153" i="28"/>
  <c r="J147" i="28"/>
  <c r="J135" i="28"/>
  <c r="J90" i="28"/>
  <c r="J141" i="28"/>
  <c r="H53" i="28"/>
  <c r="F53" i="28"/>
  <c r="E167" i="28"/>
  <c r="C15" i="24"/>
  <c r="E203" i="28"/>
  <c r="E82" i="28"/>
  <c r="H173" i="28"/>
  <c r="F173" i="28"/>
  <c r="F166" i="28" s="1"/>
  <c r="C2" i="22"/>
  <c r="C20" i="22" s="1"/>
  <c r="F3" i="24"/>
  <c r="G65" i="28"/>
  <c r="J38" i="28"/>
  <c r="J69" i="28" s="1"/>
  <c r="J35" i="28"/>
  <c r="J39" i="28"/>
  <c r="J70" i="28" s="1"/>
  <c r="J36" i="28"/>
  <c r="J67" i="28" s="1"/>
  <c r="J37" i="28"/>
  <c r="J68" i="28" s="1"/>
  <c r="I61" i="28"/>
  <c r="G3" i="24" s="1"/>
  <c r="I66" i="28"/>
  <c r="I65" i="28" s="1"/>
  <c r="K26" i="28"/>
  <c r="K30" i="28"/>
  <c r="K29" i="28"/>
  <c r="J111" i="28"/>
  <c r="J41" i="28"/>
  <c r="J72" i="28" s="1"/>
  <c r="J40" i="28"/>
  <c r="J71" i="28" s="1"/>
  <c r="E3" i="24"/>
  <c r="K157" i="28" l="1"/>
  <c r="K160" i="28"/>
  <c r="K147" i="28"/>
  <c r="K153" i="28"/>
  <c r="K141" i="28"/>
  <c r="K135" i="28"/>
  <c r="K90" i="28"/>
  <c r="F82" i="28"/>
  <c r="F204" i="28"/>
  <c r="F203" i="28" s="1"/>
  <c r="C6" i="30"/>
  <c r="G53" i="28"/>
  <c r="H204" i="28" s="1"/>
  <c r="H203" i="28" s="1"/>
  <c r="F167" i="28"/>
  <c r="D15" i="24"/>
  <c r="H166" i="28"/>
  <c r="H167" i="28" s="1"/>
  <c r="F15" i="24"/>
  <c r="F2" i="22"/>
  <c r="F20" i="22" s="1"/>
  <c r="H82" i="28"/>
  <c r="I173" i="28"/>
  <c r="I53" i="28"/>
  <c r="G173" i="28"/>
  <c r="D2" i="22"/>
  <c r="D20" i="22" s="1"/>
  <c r="K36" i="28"/>
  <c r="K67" i="28" s="1"/>
  <c r="K37" i="28"/>
  <c r="K68" i="28" s="1"/>
  <c r="K38" i="28"/>
  <c r="K69" i="28" s="1"/>
  <c r="K35" i="28"/>
  <c r="K39" i="28"/>
  <c r="K70" i="28" s="1"/>
  <c r="J66" i="28"/>
  <c r="J65" i="28" s="1"/>
  <c r="J61" i="28"/>
  <c r="K40" i="28"/>
  <c r="K71" i="28" s="1"/>
  <c r="K41" i="28"/>
  <c r="K72" i="28" s="1"/>
  <c r="L26" i="28"/>
  <c r="L30" i="28"/>
  <c r="L29" i="28"/>
  <c r="K111" i="28"/>
  <c r="I166" i="28" l="1"/>
  <c r="I167" i="28" s="1"/>
  <c r="G15" i="24"/>
  <c r="L157" i="28"/>
  <c r="L160" i="28"/>
  <c r="L147" i="28"/>
  <c r="L153" i="28"/>
  <c r="L141" i="28"/>
  <c r="L90" i="28"/>
  <c r="L135" i="28"/>
  <c r="G82" i="28"/>
  <c r="G204" i="28"/>
  <c r="G203" i="28" s="1"/>
  <c r="G166" i="28"/>
  <c r="G167" i="28" s="1"/>
  <c r="E15" i="24"/>
  <c r="G2" i="22"/>
  <c r="G20" i="22" s="1"/>
  <c r="I82" i="28"/>
  <c r="J173" i="28"/>
  <c r="J166" i="28" s="1"/>
  <c r="J53" i="28"/>
  <c r="C10" i="22"/>
  <c r="D6" i="30"/>
  <c r="D14" i="22"/>
  <c r="E2" i="22"/>
  <c r="E20" i="22" s="1"/>
  <c r="L35" i="28"/>
  <c r="L39" i="28"/>
  <c r="L70" i="28" s="1"/>
  <c r="L36" i="28"/>
  <c r="L67" i="28" s="1"/>
  <c r="L37" i="28"/>
  <c r="L68" i="28" s="1"/>
  <c r="L38" i="28"/>
  <c r="L69" i="28" s="1"/>
  <c r="K61" i="28"/>
  <c r="K66" i="28"/>
  <c r="K65" i="28" s="1"/>
  <c r="L40" i="28"/>
  <c r="L71" i="28" s="1"/>
  <c r="L41" i="28"/>
  <c r="L72" i="28" s="1"/>
  <c r="M30" i="28"/>
  <c r="M26" i="28"/>
  <c r="M29" i="28"/>
  <c r="L111" i="28"/>
  <c r="M160" i="28" l="1"/>
  <c r="M157" i="28"/>
  <c r="M153" i="28"/>
  <c r="M147" i="28"/>
  <c r="M90" i="28"/>
  <c r="M135" i="28"/>
  <c r="M141" i="28"/>
  <c r="F6" i="30"/>
  <c r="F10" i="22"/>
  <c r="J167" i="28"/>
  <c r="G14" i="22"/>
  <c r="G6" i="30"/>
  <c r="H2" i="22"/>
  <c r="H20" i="22" s="1"/>
  <c r="J82" i="28"/>
  <c r="K173" i="28"/>
  <c r="K166" i="28" s="1"/>
  <c r="K53" i="28"/>
  <c r="I2" i="22" s="1"/>
  <c r="E6" i="30"/>
  <c r="E14" i="22"/>
  <c r="F14" i="22"/>
  <c r="D10" i="22"/>
  <c r="M35" i="28"/>
  <c r="M39" i="28"/>
  <c r="M70" i="28" s="1"/>
  <c r="M36" i="28"/>
  <c r="M67" i="28" s="1"/>
  <c r="M37" i="28"/>
  <c r="M68" i="28" s="1"/>
  <c r="M38" i="28"/>
  <c r="M69" i="28" s="1"/>
  <c r="L61" i="28"/>
  <c r="L66" i="28"/>
  <c r="L65" i="28" s="1"/>
  <c r="M111" i="28"/>
  <c r="N30" i="28"/>
  <c r="N26" i="28"/>
  <c r="N29" i="28"/>
  <c r="M41" i="28"/>
  <c r="M72" i="28" s="1"/>
  <c r="M40" i="28"/>
  <c r="M71" i="28" s="1"/>
  <c r="N157" i="28" l="1"/>
  <c r="N160" i="28"/>
  <c r="N153" i="28"/>
  <c r="N147" i="28"/>
  <c r="N90" i="28"/>
  <c r="N135" i="28"/>
  <c r="N141" i="28"/>
  <c r="I6" i="22"/>
  <c r="I20" i="22"/>
  <c r="K167" i="28"/>
  <c r="H14" i="22"/>
  <c r="K82" i="28"/>
  <c r="G10" i="22"/>
  <c r="H6" i="30"/>
  <c r="L173" i="28"/>
  <c r="L166" i="28" s="1"/>
  <c r="L53" i="28"/>
  <c r="I14" i="22"/>
  <c r="E10" i="22"/>
  <c r="M61" i="28"/>
  <c r="M66" i="28"/>
  <c r="M65" i="28" s="1"/>
  <c r="N38" i="28"/>
  <c r="N69" i="28" s="1"/>
  <c r="N35" i="28"/>
  <c r="N39" i="28"/>
  <c r="N70" i="28" s="1"/>
  <c r="N36" i="28"/>
  <c r="N67" i="28" s="1"/>
  <c r="N37" i="28"/>
  <c r="N68" i="28" s="1"/>
  <c r="N111" i="28"/>
  <c r="N41" i="28"/>
  <c r="N72" i="28" s="1"/>
  <c r="N40" i="28"/>
  <c r="N71" i="28" s="1"/>
  <c r="I6" i="30" l="1"/>
  <c r="L167" i="28"/>
  <c r="H10" i="22"/>
  <c r="J2" i="22"/>
  <c r="L82" i="28"/>
  <c r="M173" i="28"/>
  <c r="M166" i="28" s="1"/>
  <c r="M53" i="28"/>
  <c r="I10" i="22"/>
  <c r="N66" i="28"/>
  <c r="N65" i="28" s="1"/>
  <c r="N61" i="28"/>
  <c r="I10" i="6"/>
  <c r="C131" i="28" s="1"/>
  <c r="J6" i="22" l="1"/>
  <c r="J20" i="22"/>
  <c r="J6" i="30" s="1"/>
  <c r="M167" i="28"/>
  <c r="K2" i="22"/>
  <c r="M82" i="28"/>
  <c r="J14" i="22"/>
  <c r="N173" i="28"/>
  <c r="N166" i="28" s="1"/>
  <c r="N53" i="28"/>
  <c r="I131" i="28"/>
  <c r="J131" i="28"/>
  <c r="H131" i="28"/>
  <c r="F131" i="28"/>
  <c r="G131" i="28"/>
  <c r="M131" i="28"/>
  <c r="L131" i="28"/>
  <c r="E131" i="28"/>
  <c r="N131" i="28"/>
  <c r="K131" i="28"/>
  <c r="B19" i="10"/>
  <c r="K6" i="22" l="1"/>
  <c r="K20" i="22"/>
  <c r="J10" i="22"/>
  <c r="N167" i="28"/>
  <c r="L2" i="22"/>
  <c r="N82" i="28"/>
  <c r="K14" i="22"/>
  <c r="J9" i="6"/>
  <c r="J10" i="6"/>
  <c r="I5" i="6"/>
  <c r="C121" i="28" s="1"/>
  <c r="E121" i="28" s="1"/>
  <c r="I8" i="6"/>
  <c r="C127" i="28" s="1"/>
  <c r="I9" i="6"/>
  <c r="C129" i="28" s="1"/>
  <c r="I4" i="6"/>
  <c r="F17" i="6"/>
  <c r="K6" i="30" l="1"/>
  <c r="L6" i="22"/>
  <c r="L20" i="22"/>
  <c r="L6" i="30" s="1"/>
  <c r="K10" i="22"/>
  <c r="L14" i="22"/>
  <c r="F121" i="28"/>
  <c r="L121" i="28"/>
  <c r="G121" i="28"/>
  <c r="N121" i="28"/>
  <c r="M121" i="28"/>
  <c r="H121" i="28"/>
  <c r="J121" i="28"/>
  <c r="I121" i="28"/>
  <c r="K121" i="28"/>
  <c r="C119" i="28"/>
  <c r="E119" i="28" s="1"/>
  <c r="I11" i="6"/>
  <c r="J8" i="6"/>
  <c r="H129" i="28"/>
  <c r="F129" i="28"/>
  <c r="K129" i="28"/>
  <c r="E129" i="28"/>
  <c r="G129" i="28"/>
  <c r="N129" i="28"/>
  <c r="J129" i="28"/>
  <c r="M129" i="28"/>
  <c r="I129" i="28"/>
  <c r="L129" i="28"/>
  <c r="J4" i="6"/>
  <c r="J5" i="6"/>
  <c r="J11" i="6" s="1"/>
  <c r="G127" i="28"/>
  <c r="J127" i="28"/>
  <c r="N127" i="28"/>
  <c r="H127" i="28"/>
  <c r="L127" i="28"/>
  <c r="M127" i="28"/>
  <c r="E127" i="28"/>
  <c r="K127" i="28"/>
  <c r="F127" i="28"/>
  <c r="I127" i="28"/>
  <c r="B18" i="10"/>
  <c r="B21" i="10"/>
  <c r="B20" i="10"/>
  <c r="E115" i="28" l="1"/>
  <c r="E114" i="28" s="1"/>
  <c r="L10" i="22"/>
  <c r="G119" i="28"/>
  <c r="G115" i="28" s="1"/>
  <c r="E19" i="24" s="1"/>
  <c r="M119" i="28"/>
  <c r="M115" i="28" s="1"/>
  <c r="I119" i="28"/>
  <c r="I115" i="28" s="1"/>
  <c r="G19" i="24" s="1"/>
  <c r="F119" i="28"/>
  <c r="F115" i="28" s="1"/>
  <c r="D19" i="24" s="1"/>
  <c r="N119" i="28"/>
  <c r="N115" i="28" s="1"/>
  <c r="L119" i="28"/>
  <c r="L115" i="28" s="1"/>
  <c r="J119" i="28"/>
  <c r="J115" i="28" s="1"/>
  <c r="K119" i="28"/>
  <c r="K115" i="28" s="1"/>
  <c r="H119" i="28"/>
  <c r="H115" i="28" s="1"/>
  <c r="F19" i="24" s="1"/>
  <c r="B5" i="10"/>
  <c r="L114" i="28" l="1"/>
  <c r="M114" i="28"/>
  <c r="H116" i="28"/>
  <c r="N114" i="28"/>
  <c r="G114" i="28"/>
  <c r="K114" i="28"/>
  <c r="F114" i="28"/>
  <c r="J114" i="28"/>
  <c r="I114" i="28"/>
  <c r="E116" i="28"/>
  <c r="C19" i="24"/>
  <c r="N116" i="28" l="1"/>
  <c r="I116" i="28"/>
  <c r="M116" i="28"/>
  <c r="L116" i="28"/>
  <c r="K116" i="28"/>
  <c r="J116" i="28"/>
  <c r="G116" i="28"/>
  <c r="F116" i="28"/>
  <c r="H114" i="28"/>
  <c r="E21" i="10"/>
  <c r="G6" i="1" l="1"/>
  <c r="G7" i="1"/>
  <c r="F56" i="6" l="1"/>
  <c r="B8" i="10" l="1"/>
  <c r="B7" i="10"/>
  <c r="B6" i="10" l="1"/>
  <c r="C4" i="10" l="1"/>
  <c r="C4" i="17"/>
  <c r="D4" i="17" s="1"/>
  <c r="F4" i="17" s="1"/>
  <c r="C9" i="12"/>
  <c r="C8" i="12"/>
  <c r="C7" i="12"/>
  <c r="F11" i="6"/>
  <c r="F18" i="6" s="1"/>
  <c r="C4" i="5"/>
  <c r="C5" i="5" s="1"/>
  <c r="C6" i="5" s="1"/>
  <c r="C7" i="5" s="1"/>
  <c r="G4" i="1"/>
  <c r="C17" i="9"/>
  <c r="C10" i="9"/>
  <c r="C6" i="9"/>
  <c r="C5" i="9"/>
  <c r="C4" i="9"/>
  <c r="C3" i="9"/>
  <c r="G13" i="8"/>
  <c r="F6" i="8"/>
  <c r="F2" i="8"/>
  <c r="C4" i="8"/>
  <c r="C2" i="8"/>
  <c r="E13" i="10"/>
  <c r="E14" i="10" s="1"/>
  <c r="F10" i="8" l="1"/>
  <c r="F11" i="8" s="1"/>
  <c r="C7" i="9"/>
  <c r="C8" i="9" s="1"/>
  <c r="C16" i="9" s="1"/>
  <c r="C18" i="9" s="1"/>
  <c r="C19" i="9" s="1"/>
  <c r="H4" i="1"/>
  <c r="H2" i="1"/>
  <c r="E19" i="10"/>
  <c r="H5" i="1"/>
  <c r="H7" i="1"/>
  <c r="C6" i="12"/>
  <c r="H6" i="1"/>
  <c r="H3" i="1"/>
  <c r="C11" i="9" l="1"/>
  <c r="C14" i="9" s="1"/>
  <c r="F13" i="8"/>
  <c r="F15" i="8" s="1"/>
  <c r="I3" i="8" s="1"/>
  <c r="E20" i="6"/>
  <c r="E21" i="6" s="1"/>
  <c r="E22" i="10"/>
  <c r="H12" i="6" l="1"/>
  <c r="E14" i="9"/>
  <c r="C3" i="8"/>
  <c r="C8" i="8" s="1"/>
  <c r="C10" i="8" s="1"/>
  <c r="C14" i="8" s="1"/>
  <c r="I2" i="8" s="1"/>
  <c r="I7" i="8" s="1"/>
  <c r="I8" i="8" s="1"/>
  <c r="H14" i="6"/>
  <c r="I14" i="6" s="1"/>
  <c r="H13" i="6"/>
  <c r="I13" i="6" s="1"/>
  <c r="H15" i="6"/>
  <c r="I15" i="6" s="1"/>
  <c r="H16" i="6"/>
  <c r="I16" i="6" s="1"/>
  <c r="C106" i="28" l="1"/>
  <c r="J15" i="6"/>
  <c r="C102" i="28"/>
  <c r="E102" i="28" s="1"/>
  <c r="J13" i="6"/>
  <c r="I17" i="6"/>
  <c r="C100" i="28"/>
  <c r="E100" i="28" s="1"/>
  <c r="C104" i="28"/>
  <c r="J14" i="6"/>
  <c r="C108" i="28"/>
  <c r="J16" i="6"/>
  <c r="J17" i="6" l="1"/>
  <c r="J18" i="6" s="1"/>
  <c r="J20" i="6" s="1"/>
  <c r="J108" i="28"/>
  <c r="E108" i="28"/>
  <c r="F108" i="28"/>
  <c r="H108" i="28"/>
  <c r="I108" i="28"/>
  <c r="M108" i="28"/>
  <c r="K108" i="28"/>
  <c r="G108" i="28"/>
  <c r="L108" i="28"/>
  <c r="N108" i="28"/>
  <c r="C4" i="12"/>
  <c r="C12" i="12" s="1"/>
  <c r="I18" i="6"/>
  <c r="G106" i="28"/>
  <c r="M106" i="28"/>
  <c r="N106" i="28"/>
  <c r="F106" i="28"/>
  <c r="I106" i="28"/>
  <c r="L106" i="28"/>
  <c r="J106" i="28"/>
  <c r="H106" i="28"/>
  <c r="K106" i="28"/>
  <c r="E106" i="28"/>
  <c r="N104" i="28"/>
  <c r="K104" i="28"/>
  <c r="H104" i="28"/>
  <c r="F104" i="28"/>
  <c r="I104" i="28"/>
  <c r="E104" i="28"/>
  <c r="M104" i="28"/>
  <c r="L104" i="28"/>
  <c r="J104" i="28"/>
  <c r="G104" i="28"/>
  <c r="N100" i="28"/>
  <c r="I100" i="28"/>
  <c r="M100" i="28"/>
  <c r="L100" i="28"/>
  <c r="H100" i="28"/>
  <c r="F100" i="28"/>
  <c r="G100" i="28"/>
  <c r="K100" i="28"/>
  <c r="J100" i="28"/>
  <c r="H102" i="28"/>
  <c r="L102" i="28"/>
  <c r="I102" i="28"/>
  <c r="F102" i="28"/>
  <c r="M102" i="28"/>
  <c r="K102" i="28"/>
  <c r="G102" i="28"/>
  <c r="N102" i="28"/>
  <c r="J102" i="28"/>
  <c r="E96" i="28" l="1"/>
  <c r="E97" i="28" s="1"/>
  <c r="J96" i="28"/>
  <c r="H96" i="28"/>
  <c r="I96" i="28"/>
  <c r="N96" i="28"/>
  <c r="N97" i="28" s="1"/>
  <c r="K96" i="28"/>
  <c r="K97" i="28" s="1"/>
  <c r="L96" i="28"/>
  <c r="L97" i="28" s="1"/>
  <c r="G96" i="28"/>
  <c r="G97" i="28" s="1"/>
  <c r="M96" i="28"/>
  <c r="M97" i="28" s="1"/>
  <c r="F96" i="28"/>
  <c r="F97" i="28" s="1"/>
  <c r="I88" i="28" l="1"/>
  <c r="I84" i="28" s="1"/>
  <c r="I85" i="28" s="1"/>
  <c r="I97" i="28"/>
  <c r="G7" i="24" s="1"/>
  <c r="G16" i="24" s="1"/>
  <c r="G28" i="24" s="1"/>
  <c r="H88" i="28"/>
  <c r="H84" i="28" s="1"/>
  <c r="H86" i="28" s="1"/>
  <c r="F22" i="22" s="1"/>
  <c r="H97" i="28"/>
  <c r="F7" i="24" s="1"/>
  <c r="F16" i="24" s="1"/>
  <c r="F28" i="24" s="1"/>
  <c r="J88" i="28"/>
  <c r="J84" i="28" s="1"/>
  <c r="J85" i="28" s="1"/>
  <c r="J97" i="28"/>
  <c r="E88" i="28"/>
  <c r="E84" i="28" s="1"/>
  <c r="C7" i="24"/>
  <c r="C16" i="24" s="1"/>
  <c r="C28" i="24" s="1"/>
  <c r="D231" i="28"/>
  <c r="D7" i="24"/>
  <c r="D16" i="24" s="1"/>
  <c r="D28" i="24" s="1"/>
  <c r="F88" i="28"/>
  <c r="F84" i="28" s="1"/>
  <c r="M88" i="28"/>
  <c r="M84" i="28" s="1"/>
  <c r="N88" i="28"/>
  <c r="N84" i="28" s="1"/>
  <c r="G88" i="28"/>
  <c r="G84" i="28" s="1"/>
  <c r="E7" i="24"/>
  <c r="E16" i="24" s="1"/>
  <c r="E28" i="24" s="1"/>
  <c r="L88" i="28"/>
  <c r="L84" i="28" s="1"/>
  <c r="K88" i="28"/>
  <c r="K84" i="28" s="1"/>
  <c r="I86" i="28" l="1"/>
  <c r="G22" i="22" s="1"/>
  <c r="G7" i="30" s="1"/>
  <c r="G8" i="30" s="1"/>
  <c r="J86" i="28"/>
  <c r="H22" i="22" s="1"/>
  <c r="H85" i="28"/>
  <c r="J163" i="28"/>
  <c r="J175" i="28" s="1"/>
  <c r="I163" i="28"/>
  <c r="I175" i="28" s="1"/>
  <c r="H163" i="28"/>
  <c r="H164" i="28" s="1"/>
  <c r="D230" i="28"/>
  <c r="D210" i="28" s="1"/>
  <c r="E86" i="28"/>
  <c r="E201" i="28" s="1"/>
  <c r="H201" i="28"/>
  <c r="H199" i="28" s="1"/>
  <c r="H197" i="28" s="1"/>
  <c r="F86" i="28"/>
  <c r="D22" i="22" s="1"/>
  <c r="F85" i="28"/>
  <c r="F163" i="28"/>
  <c r="M86" i="28"/>
  <c r="M85" i="28"/>
  <c r="M163" i="28"/>
  <c r="J164" i="28"/>
  <c r="L85" i="28"/>
  <c r="L86" i="28"/>
  <c r="J22" i="22" s="1"/>
  <c r="L163" i="28"/>
  <c r="G85" i="28"/>
  <c r="G86" i="28"/>
  <c r="E22" i="22" s="1"/>
  <c r="G163" i="28"/>
  <c r="N86" i="28"/>
  <c r="L22" i="22" s="1"/>
  <c r="N85" i="28"/>
  <c r="N163" i="28"/>
  <c r="K85" i="28"/>
  <c r="K86" i="28"/>
  <c r="I22" i="22" s="1"/>
  <c r="K163" i="28"/>
  <c r="H7" i="30" l="1"/>
  <c r="H8" i="30" s="1"/>
  <c r="H175" i="28"/>
  <c r="H176" i="28" s="1"/>
  <c r="I164" i="28"/>
  <c r="B44" i="22"/>
  <c r="B43" i="22" s="1"/>
  <c r="K22" i="22"/>
  <c r="K17" i="22" s="1"/>
  <c r="F201" i="28"/>
  <c r="F199" i="28" s="1"/>
  <c r="F197" i="28" s="1"/>
  <c r="C22" i="22"/>
  <c r="D7" i="30" s="1"/>
  <c r="G201" i="28"/>
  <c r="G199" i="28" s="1"/>
  <c r="G197" i="28" s="1"/>
  <c r="G181" i="28"/>
  <c r="G178" i="28" s="1"/>
  <c r="E4" i="30" s="1"/>
  <c r="K181" i="28"/>
  <c r="K178" i="28" s="1"/>
  <c r="I4" i="30" s="1"/>
  <c r="M181" i="28"/>
  <c r="M178" i="28" s="1"/>
  <c r="K4" i="30" s="1"/>
  <c r="L181" i="28"/>
  <c r="L178" i="28" s="1"/>
  <c r="J4" i="30" s="1"/>
  <c r="N181" i="28"/>
  <c r="N178" i="28" s="1"/>
  <c r="L4" i="30" s="1"/>
  <c r="F181" i="28"/>
  <c r="F178" i="28" s="1"/>
  <c r="D4" i="30" s="1"/>
  <c r="I181" i="28"/>
  <c r="I178" i="28" s="1"/>
  <c r="G4" i="30" s="1"/>
  <c r="J181" i="28"/>
  <c r="J178" i="28" s="1"/>
  <c r="H4" i="30" s="1"/>
  <c r="H181" i="28"/>
  <c r="H178" i="28" s="1"/>
  <c r="F4" i="30" s="1"/>
  <c r="E181" i="28"/>
  <c r="E178" i="28" s="1"/>
  <c r="C7" i="22"/>
  <c r="E85" i="28"/>
  <c r="E163" i="28"/>
  <c r="B28" i="22"/>
  <c r="B13" i="30" s="1"/>
  <c r="B17" i="30" s="1"/>
  <c r="J7" i="22"/>
  <c r="I7" i="30"/>
  <c r="I8" i="30" s="1"/>
  <c r="F7" i="30"/>
  <c r="F8" i="30" s="1"/>
  <c r="H7" i="22"/>
  <c r="F7" i="22"/>
  <c r="G7" i="22"/>
  <c r="H198" i="28"/>
  <c r="M175" i="28"/>
  <c r="M164" i="28"/>
  <c r="N164" i="28"/>
  <c r="N175" i="28"/>
  <c r="D236" i="28"/>
  <c r="D242" i="28" s="1"/>
  <c r="J176" i="28"/>
  <c r="I176" i="28"/>
  <c r="K164" i="28"/>
  <c r="K175" i="28"/>
  <c r="L164" i="28"/>
  <c r="L175" i="28"/>
  <c r="F164" i="28"/>
  <c r="F175" i="28"/>
  <c r="G164" i="28"/>
  <c r="G175" i="28"/>
  <c r="E245" i="28" l="1"/>
  <c r="I183" i="28"/>
  <c r="L7" i="30"/>
  <c r="L8" i="30" s="1"/>
  <c r="K7" i="22"/>
  <c r="E199" i="28"/>
  <c r="E197" i="28" s="1"/>
  <c r="E198" i="28" s="1"/>
  <c r="E175" i="28"/>
  <c r="E183" i="28" s="1"/>
  <c r="H179" i="28"/>
  <c r="M179" i="28"/>
  <c r="N195" i="28"/>
  <c r="G179" i="28"/>
  <c r="F195" i="28"/>
  <c r="D24" i="24" s="1"/>
  <c r="K179" i="28"/>
  <c r="F179" i="28"/>
  <c r="G195" i="28"/>
  <c r="E24" i="24" s="1"/>
  <c r="M195" i="28"/>
  <c r="J195" i="28"/>
  <c r="J183" i="28"/>
  <c r="J187" i="28" s="1"/>
  <c r="J190" i="28" s="1"/>
  <c r="J192" i="28" s="1"/>
  <c r="L179" i="28"/>
  <c r="J179" i="28"/>
  <c r="L195" i="28"/>
  <c r="K195" i="28"/>
  <c r="I195" i="28"/>
  <c r="G24" i="24" s="1"/>
  <c r="I179" i="28"/>
  <c r="H183" i="28"/>
  <c r="N179" i="28"/>
  <c r="H195" i="28"/>
  <c r="F24" i="24" s="1"/>
  <c r="D8" i="30"/>
  <c r="E164" i="28"/>
  <c r="C7" i="30"/>
  <c r="C8" i="30" s="1"/>
  <c r="B24" i="22"/>
  <c r="B30" i="22" s="1"/>
  <c r="J7" i="30"/>
  <c r="J8" i="30" s="1"/>
  <c r="K7" i="30"/>
  <c r="K8" i="30" s="1"/>
  <c r="L7" i="22"/>
  <c r="I7" i="22"/>
  <c r="E7" i="30"/>
  <c r="E8" i="30" s="1"/>
  <c r="C28" i="22"/>
  <c r="C4" i="30"/>
  <c r="D7" i="22"/>
  <c r="E7" i="22"/>
  <c r="F198" i="28"/>
  <c r="G198" i="28"/>
  <c r="M183" i="28"/>
  <c r="M187" i="28" s="1"/>
  <c r="M176" i="28"/>
  <c r="L183" i="28"/>
  <c r="L187" i="28" s="1"/>
  <c r="L176" i="28"/>
  <c r="K176" i="28"/>
  <c r="K183" i="28"/>
  <c r="K187" i="28" s="1"/>
  <c r="N176" i="28"/>
  <c r="N183" i="28"/>
  <c r="N187" i="28" s="1"/>
  <c r="E195" i="28"/>
  <c r="E179" i="28"/>
  <c r="G176" i="28"/>
  <c r="G183" i="28"/>
  <c r="F176" i="28"/>
  <c r="F183" i="28"/>
  <c r="E176" i="28" l="1"/>
  <c r="J188" i="28"/>
  <c r="D28" i="22"/>
  <c r="D24" i="22" s="1"/>
  <c r="C24" i="22"/>
  <c r="J236" i="28"/>
  <c r="N190" i="28"/>
  <c r="N192" i="28" s="1"/>
  <c r="N188" i="28"/>
  <c r="L190" i="28"/>
  <c r="L192" i="28" s="1"/>
  <c r="L188" i="28"/>
  <c r="K188" i="28"/>
  <c r="K190" i="28"/>
  <c r="K192" i="28" s="1"/>
  <c r="C24" i="24"/>
  <c r="M190" i="28"/>
  <c r="M192" i="28" s="1"/>
  <c r="M188" i="28"/>
  <c r="H48" i="22"/>
  <c r="H3" i="30" s="1"/>
  <c r="H5" i="30" s="1"/>
  <c r="H12" i="30" s="1"/>
  <c r="H3" i="22"/>
  <c r="J193" i="28"/>
  <c r="E28" i="22" l="1"/>
  <c r="E24" i="22" s="1"/>
  <c r="C44" i="22"/>
  <c r="B49" i="22"/>
  <c r="B19" i="30"/>
  <c r="N236" i="28"/>
  <c r="K236" i="28"/>
  <c r="L236" i="28"/>
  <c r="M236" i="28"/>
  <c r="H13" i="22"/>
  <c r="J48" i="22"/>
  <c r="J3" i="30" s="1"/>
  <c r="J5" i="30" s="1"/>
  <c r="J12" i="30" s="1"/>
  <c r="J24" i="30" s="1"/>
  <c r="J28" i="30" s="1"/>
  <c r="K48" i="22"/>
  <c r="K3" i="30" s="1"/>
  <c r="K5" i="30" s="1"/>
  <c r="K12" i="30" s="1"/>
  <c r="K24" i="30" s="1"/>
  <c r="K28" i="30" s="1"/>
  <c r="I48" i="22"/>
  <c r="I3" i="30" s="1"/>
  <c r="I5" i="30" s="1"/>
  <c r="I12" i="30" s="1"/>
  <c r="I24" i="30" s="1"/>
  <c r="I28" i="30" s="1"/>
  <c r="L48" i="22"/>
  <c r="L3" i="30" s="1"/>
  <c r="L5" i="30" s="1"/>
  <c r="L12" i="30" s="1"/>
  <c r="L24" i="30" s="1"/>
  <c r="L28" i="30" s="1"/>
  <c r="N193" i="28"/>
  <c r="L3" i="22"/>
  <c r="J3" i="22"/>
  <c r="L193" i="28"/>
  <c r="M193" i="28"/>
  <c r="K3" i="22"/>
  <c r="I3" i="22"/>
  <c r="K193" i="28"/>
  <c r="J242" i="28"/>
  <c r="B23" i="30" l="1"/>
  <c r="B24" i="30" s="1"/>
  <c r="C27" i="30" s="1"/>
  <c r="F28" i="22"/>
  <c r="G28" i="22" s="1"/>
  <c r="D44" i="22"/>
  <c r="I13" i="22"/>
  <c r="K13" i="22"/>
  <c r="L13" i="22"/>
  <c r="J13" i="22"/>
  <c r="M242" i="28"/>
  <c r="K242" i="28"/>
  <c r="L242" i="28"/>
  <c r="E44" i="22" l="1"/>
  <c r="F44" i="22" s="1"/>
  <c r="F24" i="22"/>
  <c r="H28" i="22"/>
  <c r="G24" i="22"/>
  <c r="G44" i="22" l="1"/>
  <c r="I28" i="22"/>
  <c r="H24" i="22"/>
  <c r="H44" i="22" l="1"/>
  <c r="J28" i="22"/>
  <c r="I24" i="22"/>
  <c r="H9" i="26"/>
  <c r="K9" i="26"/>
  <c r="I9" i="26"/>
  <c r="G9" i="26"/>
  <c r="J9" i="26"/>
  <c r="B3" i="25"/>
  <c r="B4" i="25" s="1"/>
  <c r="D16" i="30" l="1"/>
  <c r="D17" i="30" s="1"/>
  <c r="G11" i="26"/>
  <c r="F16" i="30"/>
  <c r="F17" i="30" s="1"/>
  <c r="H16" i="30"/>
  <c r="H17" i="30" s="1"/>
  <c r="H24" i="30" s="1"/>
  <c r="H28" i="30" s="1"/>
  <c r="G16" i="30"/>
  <c r="G17" i="30" s="1"/>
  <c r="E16" i="30"/>
  <c r="E17" i="30" s="1"/>
  <c r="G10" i="26"/>
  <c r="D39" i="22" s="1"/>
  <c r="I44" i="22"/>
  <c r="K28" i="22"/>
  <c r="J24" i="22"/>
  <c r="E185" i="28"/>
  <c r="F4" i="25"/>
  <c r="B42" i="22"/>
  <c r="B50" i="22" s="1"/>
  <c r="C31" i="22"/>
  <c r="C42" i="22" s="1"/>
  <c r="C6" i="22"/>
  <c r="E187" i="28" l="1"/>
  <c r="E190" i="28" s="1"/>
  <c r="E192" i="28" s="1"/>
  <c r="E236" i="28" s="1"/>
  <c r="E246" i="28"/>
  <c r="H8" i="26"/>
  <c r="H11" i="26" s="1"/>
  <c r="H10" i="26"/>
  <c r="I8" i="26" s="1"/>
  <c r="I11" i="26" s="1"/>
  <c r="D6" i="22"/>
  <c r="D38" i="22"/>
  <c r="L28" i="22"/>
  <c r="K24" i="22"/>
  <c r="J44" i="22"/>
  <c r="D31" i="22"/>
  <c r="F3" i="25"/>
  <c r="D7" i="25" s="1"/>
  <c r="D251" i="28" s="1"/>
  <c r="C25" i="24"/>
  <c r="E188" i="28" l="1"/>
  <c r="C26" i="24"/>
  <c r="C30" i="24" s="1"/>
  <c r="C34" i="24" s="1"/>
  <c r="F185" i="28"/>
  <c r="I10" i="26"/>
  <c r="F39" i="22" s="1"/>
  <c r="F38" i="22" s="1"/>
  <c r="G185" i="28"/>
  <c r="E39" i="22"/>
  <c r="E38" i="22" s="1"/>
  <c r="K44" i="22"/>
  <c r="L24" i="22"/>
  <c r="D42" i="22"/>
  <c r="C48" i="22"/>
  <c r="D47" i="22" s="1"/>
  <c r="L237" i="28"/>
  <c r="D243" i="28"/>
  <c r="N238" i="28"/>
  <c r="N242" i="28" s="1"/>
  <c r="N243" i="28" s="1"/>
  <c r="M237" i="28"/>
  <c r="L243" i="28"/>
  <c r="C3" i="22"/>
  <c r="J237" i="28"/>
  <c r="E193" i="28"/>
  <c r="D237" i="28"/>
  <c r="M243" i="28"/>
  <c r="K237" i="28"/>
  <c r="N237" i="28"/>
  <c r="K243" i="28"/>
  <c r="J243" i="28"/>
  <c r="E31" i="22"/>
  <c r="E237" i="28"/>
  <c r="E242" i="28"/>
  <c r="G187" i="28" l="1"/>
  <c r="G188" i="28" s="1"/>
  <c r="E25" i="24"/>
  <c r="E26" i="24" s="1"/>
  <c r="E30" i="24" s="1"/>
  <c r="E34" i="24" s="1"/>
  <c r="F187" i="28"/>
  <c r="F188" i="28" s="1"/>
  <c r="D25" i="24"/>
  <c r="D26" i="24" s="1"/>
  <c r="D30" i="24" s="1"/>
  <c r="D32" i="24" s="1"/>
  <c r="C32" i="24"/>
  <c r="G246" i="28"/>
  <c r="F246" i="28"/>
  <c r="F190" i="28"/>
  <c r="F192" i="28" s="1"/>
  <c r="F236" i="28" s="1"/>
  <c r="C17" i="22"/>
  <c r="C43" i="22"/>
  <c r="C5" i="22" s="1"/>
  <c r="J10" i="26"/>
  <c r="G39" i="22" s="1"/>
  <c r="G38" i="22" s="1"/>
  <c r="J8" i="26"/>
  <c r="J11" i="26" s="1"/>
  <c r="E6" i="22"/>
  <c r="C3" i="30"/>
  <c r="C5" i="30" s="1"/>
  <c r="C12" i="30" s="1"/>
  <c r="C24" i="30" s="1"/>
  <c r="L44" i="22"/>
  <c r="C13" i="22"/>
  <c r="H31" i="22"/>
  <c r="E42" i="22"/>
  <c r="G31" i="22"/>
  <c r="E243" i="28"/>
  <c r="F6" i="22"/>
  <c r="F31" i="22"/>
  <c r="C30" i="22" l="1"/>
  <c r="C8" i="22" s="1"/>
  <c r="C4" i="22"/>
  <c r="G190" i="28"/>
  <c r="G192" i="28" s="1"/>
  <c r="G236" i="28" s="1"/>
  <c r="E32" i="24"/>
  <c r="D34" i="24"/>
  <c r="C28" i="30"/>
  <c r="C29" i="30" s="1"/>
  <c r="D27" i="30"/>
  <c r="K8" i="26"/>
  <c r="I185" i="28" s="1"/>
  <c r="C49" i="22"/>
  <c r="C50" i="22" s="1"/>
  <c r="F193" i="28"/>
  <c r="D3" i="22"/>
  <c r="D48" i="22"/>
  <c r="E47" i="22" s="1"/>
  <c r="G6" i="22"/>
  <c r="K10" i="26"/>
  <c r="H39" i="22" s="1"/>
  <c r="H38" i="22" s="1"/>
  <c r="H42" i="22" s="1"/>
  <c r="H185" i="28"/>
  <c r="F42" i="22"/>
  <c r="G42" i="22"/>
  <c r="F242" i="28"/>
  <c r="F237" i="28"/>
  <c r="C11" i="22" l="1"/>
  <c r="E48" i="22"/>
  <c r="E3" i="30" s="1"/>
  <c r="E5" i="30" s="1"/>
  <c r="E12" i="30" s="1"/>
  <c r="E24" i="30" s="1"/>
  <c r="E28" i="30" s="1"/>
  <c r="G193" i="28"/>
  <c r="E3" i="22"/>
  <c r="H187" i="28"/>
  <c r="H188" i="28" s="1"/>
  <c r="F25" i="24"/>
  <c r="F26" i="24" s="1"/>
  <c r="F30" i="24" s="1"/>
  <c r="I187" i="28"/>
  <c r="I190" i="28" s="1"/>
  <c r="I192" i="28" s="1"/>
  <c r="G48" i="22" s="1"/>
  <c r="G3" i="30" s="1"/>
  <c r="G5" i="30" s="1"/>
  <c r="G12" i="30" s="1"/>
  <c r="G24" i="30" s="1"/>
  <c r="G28" i="30" s="1"/>
  <c r="G25" i="24"/>
  <c r="G26" i="24" s="1"/>
  <c r="G30" i="24" s="1"/>
  <c r="D3" i="30"/>
  <c r="D5" i="30" s="1"/>
  <c r="D12" i="30" s="1"/>
  <c r="D24" i="30" s="1"/>
  <c r="D28" i="30" s="1"/>
  <c r="D29" i="30" s="1"/>
  <c r="E27" i="30" s="1"/>
  <c r="D43" i="22"/>
  <c r="D49" i="22" s="1"/>
  <c r="K11" i="26"/>
  <c r="H246" i="28"/>
  <c r="D17" i="22"/>
  <c r="D30" i="22" s="1"/>
  <c r="D13" i="22"/>
  <c r="H6" i="22"/>
  <c r="G237" i="28"/>
  <c r="G242" i="28"/>
  <c r="F243" i="28"/>
  <c r="I236" i="28" l="1"/>
  <c r="I237" i="28" s="1"/>
  <c r="E29" i="30"/>
  <c r="F27" i="30" s="1"/>
  <c r="E13" i="22"/>
  <c r="F47" i="22"/>
  <c r="H190" i="28"/>
  <c r="H192" i="28" s="1"/>
  <c r="F48" i="22" s="1"/>
  <c r="G3" i="22"/>
  <c r="I193" i="28"/>
  <c r="I188" i="28"/>
  <c r="G32" i="24"/>
  <c r="G34" i="24"/>
  <c r="F34" i="24"/>
  <c r="F32" i="24"/>
  <c r="E43" i="22"/>
  <c r="E12" i="22" s="1"/>
  <c r="D5" i="22"/>
  <c r="D12" i="22"/>
  <c r="D8" i="22"/>
  <c r="D4" i="22"/>
  <c r="D50" i="22"/>
  <c r="D11" i="22"/>
  <c r="G243" i="28"/>
  <c r="G13" i="22"/>
  <c r="H236" i="28" l="1"/>
  <c r="H237" i="28" s="1"/>
  <c r="I242" i="28"/>
  <c r="I243" i="28" s="1"/>
  <c r="H193" i="28"/>
  <c r="F3" i="22"/>
  <c r="G47" i="22"/>
  <c r="F43" i="22"/>
  <c r="F49" i="22" s="1"/>
  <c r="F3" i="30"/>
  <c r="F5" i="30" s="1"/>
  <c r="F12" i="30" s="1"/>
  <c r="F24" i="30" s="1"/>
  <c r="F28" i="30" s="1"/>
  <c r="F29" i="30" s="1"/>
  <c r="G27" i="30" s="1"/>
  <c r="G29" i="30" s="1"/>
  <c r="H27" i="30" s="1"/>
  <c r="H29" i="30" s="1"/>
  <c r="I27" i="30" s="1"/>
  <c r="I29" i="30" s="1"/>
  <c r="J27" i="30" s="1"/>
  <c r="J29" i="30" s="1"/>
  <c r="K27" i="30" s="1"/>
  <c r="K29" i="30" s="1"/>
  <c r="L27" i="30" s="1"/>
  <c r="L29" i="30" s="1"/>
  <c r="F13" i="22"/>
  <c r="F17" i="22"/>
  <c r="E49" i="22"/>
  <c r="E5" i="22"/>
  <c r="E17" i="22"/>
  <c r="E30" i="22" s="1"/>
  <c r="H242" i="28" l="1"/>
  <c r="H243" i="28" s="1"/>
  <c r="F12" i="22"/>
  <c r="H47" i="22"/>
  <c r="I47" i="22" s="1"/>
  <c r="J47" i="22" s="1"/>
  <c r="K47" i="22" s="1"/>
  <c r="L47" i="22" s="1"/>
  <c r="G43" i="22"/>
  <c r="H17" i="22"/>
  <c r="F4" i="22"/>
  <c r="F30" i="22"/>
  <c r="F11" i="22" s="1"/>
  <c r="F5" i="22"/>
  <c r="E8" i="22"/>
  <c r="E4" i="22"/>
  <c r="E50" i="22"/>
  <c r="E11" i="22"/>
  <c r="G17" i="22"/>
  <c r="G30" i="22" s="1"/>
  <c r="D250" i="28" l="1"/>
  <c r="D249" i="28"/>
  <c r="F8" i="22"/>
  <c r="F50" i="22"/>
  <c r="I17" i="22"/>
  <c r="H43" i="22"/>
  <c r="H30" i="22"/>
  <c r="H4" i="22"/>
  <c r="G5" i="22"/>
  <c r="G49" i="22"/>
  <c r="G12" i="22"/>
  <c r="G4" i="22"/>
  <c r="G8" i="22"/>
  <c r="G11" i="22"/>
  <c r="I43" i="22" l="1"/>
  <c r="H8" i="22"/>
  <c r="H11" i="22"/>
  <c r="I4" i="22"/>
  <c r="I30" i="22"/>
  <c r="J17" i="22"/>
  <c r="H12" i="22"/>
  <c r="H5" i="22"/>
  <c r="H49" i="22"/>
  <c r="G50" i="22"/>
  <c r="J43" i="22" l="1"/>
  <c r="J5" i="22" s="1"/>
  <c r="J4" i="22"/>
  <c r="J30" i="22"/>
  <c r="K43" i="22"/>
  <c r="I8" i="22"/>
  <c r="I11" i="22"/>
  <c r="H50" i="22"/>
  <c r="I5" i="22"/>
  <c r="I49" i="22"/>
  <c r="I12" i="22"/>
  <c r="J11" i="22" l="1"/>
  <c r="J8" i="22"/>
  <c r="K4" i="22"/>
  <c r="K30" i="22"/>
  <c r="L17" i="22"/>
  <c r="L43" i="22"/>
  <c r="I50" i="22"/>
  <c r="J12" i="22"/>
  <c r="J49" i="22"/>
  <c r="L4" i="22" l="1"/>
  <c r="L30" i="22"/>
  <c r="K11" i="22"/>
  <c r="K8" i="22"/>
  <c r="J50" i="22"/>
  <c r="K5" i="22"/>
  <c r="K49" i="22"/>
  <c r="K12" i="22"/>
  <c r="L11" i="22" l="1"/>
  <c r="L8" i="22"/>
  <c r="K50" i="22"/>
  <c r="L49" i="22"/>
  <c r="L50" i="22" s="1"/>
  <c r="L5" i="22"/>
  <c r="L12" i="22"/>
  <c r="C12" i="22" l="1"/>
</calcChain>
</file>

<file path=xl/comments1.xml><?xml version="1.0" encoding="utf-8"?>
<comments xmlns="http://schemas.openxmlformats.org/spreadsheetml/2006/main">
  <authors>
    <author>Roger, Lucas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25000
</t>
        </r>
      </text>
    </comment>
    <comment ref="B10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50%</t>
        </r>
      </text>
    </comment>
  </commentList>
</comments>
</file>

<file path=xl/comments2.xml><?xml version="1.0" encoding="utf-8"?>
<comments xmlns="http://schemas.openxmlformats.org/spreadsheetml/2006/main">
  <authors>
    <author>Lucas</author>
    <author>rl0011</author>
  </authors>
  <commentList>
    <comment ref="F15" authorId="0">
      <text>
        <r>
          <rPr>
            <b/>
            <sz val="8"/>
            <color indexed="81"/>
            <rFont val="Tahoma"/>
            <family val="2"/>
          </rPr>
          <t>Lucas:</t>
        </r>
        <r>
          <rPr>
            <sz val="8"/>
            <color indexed="81"/>
            <rFont val="Tahoma"/>
            <family val="2"/>
          </rPr>
          <t xml:space="preserve">
eran 10
</t>
        </r>
      </text>
    </comment>
    <comment ref="D24" authorId="1">
      <text>
        <r>
          <rPr>
            <b/>
            <sz val="9"/>
            <color indexed="81"/>
            <rFont val="Tahoma"/>
            <family val="2"/>
          </rPr>
          <t>rl0011:</t>
        </r>
        <r>
          <rPr>
            <sz val="9"/>
            <color indexed="81"/>
            <rFont val="Tahoma"/>
            <family val="2"/>
          </rPr>
          <t xml:space="preserve">
incluye vacaciones
</t>
        </r>
      </text>
    </comment>
  </commentList>
</comments>
</file>

<file path=xl/comments3.xml><?xml version="1.0" encoding="utf-8"?>
<comments xmlns="http://schemas.openxmlformats.org/spreadsheetml/2006/main">
  <authors>
    <author>Roger, Lucas</author>
  </authors>
  <commentList>
    <comment ref="A4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ACP/PCP</t>
        </r>
      </text>
    </comment>
    <comment ref="A5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P/PN
</t>
        </r>
      </text>
    </comment>
    <comment ref="A7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BIENES C/ COSTOS VENTAS*365</t>
        </r>
      </text>
    </comment>
    <comment ref="A8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VENTAS/ACTIVO</t>
        </r>
      </text>
    </comment>
    <comment ref="A9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PROVEEDORES/ COSTO VENTAS*365</t>
        </r>
      </text>
    </comment>
    <comment ref="A10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CREDITO VENTAS/VENTAS*365</t>
        </r>
      </text>
    </comment>
    <comment ref="A11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RESULTADO/ ACTIVO</t>
        </r>
      </text>
    </comment>
    <comment ref="A12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RESULTADO/PN
</t>
        </r>
      </text>
    </comment>
    <comment ref="A13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RESULTADO/VENTAS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BIENES C/ COSTOS VENTAS*365</t>
        </r>
      </text>
    </comment>
    <comment ref="A34" authorId="0">
      <text>
        <r>
          <rPr>
            <b/>
            <sz val="9"/>
            <color indexed="81"/>
            <rFont val="Tahoma"/>
            <family val="2"/>
          </rPr>
          <t>Roger, Lucas:</t>
        </r>
        <r>
          <rPr>
            <sz val="9"/>
            <color indexed="81"/>
            <rFont val="Tahoma"/>
            <family val="2"/>
          </rPr>
          <t xml:space="preserve">
ver impuestos
</t>
        </r>
      </text>
    </comment>
  </commentList>
</comments>
</file>

<file path=xl/sharedStrings.xml><?xml version="1.0" encoding="utf-8"?>
<sst xmlns="http://schemas.openxmlformats.org/spreadsheetml/2006/main" count="986" uniqueCount="632">
  <si>
    <t>EQUIPAMIENTO</t>
  </si>
  <si>
    <t>US$</t>
  </si>
  <si>
    <t>OPERARIOS</t>
  </si>
  <si>
    <t>Tipo Operario</t>
  </si>
  <si>
    <t>C</t>
  </si>
  <si>
    <t>Sierra circular multiple 2x75HP</t>
  </si>
  <si>
    <t>Sierra circular (cant), 15HP</t>
  </si>
  <si>
    <t>NC</t>
  </si>
  <si>
    <t>Reaserradora, 30HP</t>
  </si>
  <si>
    <t>Sierra circular despunteadora 5HP</t>
  </si>
  <si>
    <t>Conjunto afilador completo</t>
  </si>
  <si>
    <t>Sistema de transporte interno</t>
  </si>
  <si>
    <t>Sistema de transporte y eliminación de residuos</t>
  </si>
  <si>
    <t>Carga frontal cinemáticos</t>
  </si>
  <si>
    <t>Montacargas diesel 4Tn</t>
  </si>
  <si>
    <t>TOTAL</t>
  </si>
  <si>
    <t>C: Capacitado</t>
  </si>
  <si>
    <t>NC: No capacitado</t>
  </si>
  <si>
    <t>Horas/año Bruto</t>
  </si>
  <si>
    <t xml:space="preserve">Eficiencia horaria </t>
  </si>
  <si>
    <t>Horas/año Neto</t>
  </si>
  <si>
    <t>REGIÓN</t>
  </si>
  <si>
    <t>Concordia (Entre Rios)</t>
  </si>
  <si>
    <t>Terreno</t>
  </si>
  <si>
    <t>Construcción</t>
  </si>
  <si>
    <t>TOTAL EQUIPAMIENTO</t>
  </si>
  <si>
    <t>Equipamiento</t>
  </si>
  <si>
    <t>INVERSIÓN (US$)</t>
  </si>
  <si>
    <t>Imprevistos (10%)</t>
  </si>
  <si>
    <t>%</t>
  </si>
  <si>
    <t xml:space="preserve">Rendimiento </t>
  </si>
  <si>
    <t>Equivalencias</t>
  </si>
  <si>
    <t>$/tn</t>
  </si>
  <si>
    <t>Capital de Trabajo</t>
  </si>
  <si>
    <t>Monte en Pie</t>
  </si>
  <si>
    <t>1m3</t>
  </si>
  <si>
    <t>p2</t>
  </si>
  <si>
    <t>tn</t>
  </si>
  <si>
    <t>Madera puesta en planta industrial</t>
  </si>
  <si>
    <t>Madera en playa de monte sobre camión</t>
  </si>
  <si>
    <t>Cadena de Valor 1TN de Euclaipto</t>
  </si>
  <si>
    <t>Unidad</t>
  </si>
  <si>
    <t xml:space="preserve">Acumulado </t>
  </si>
  <si>
    <t>Madera procesada (tabla estandar)</t>
  </si>
  <si>
    <t>Madera procesada (tabla seca)</t>
  </si>
  <si>
    <t>Sierra principal (sinfín dobel 800 mm), 2x20 HP</t>
  </si>
  <si>
    <t>Derechos y gastos de importación</t>
  </si>
  <si>
    <t>Productos y equipos locales entregados en obra</t>
  </si>
  <si>
    <t>Instalación y montaje de equipos</t>
  </si>
  <si>
    <t>Imprevistos</t>
  </si>
  <si>
    <t>Superficie para trozas</t>
  </si>
  <si>
    <t>Volumen de trozas consumidos (m3/año)</t>
  </si>
  <si>
    <t>Volumen de madera producido (m3/año)</t>
  </si>
  <si>
    <t>Superficie Total p/ trozas (m2)</t>
  </si>
  <si>
    <t>Tiempo medio de secado (semanas)</t>
  </si>
  <si>
    <t>Superficie Total p/ madera aserrada  (m2)</t>
  </si>
  <si>
    <t>Longitud de trozas (mts)</t>
  </si>
  <si>
    <t>Rendimiento de aserrado (%)</t>
  </si>
  <si>
    <t>Superficie de edificaciones</t>
  </si>
  <si>
    <t>Altura de apilado (mts)</t>
  </si>
  <si>
    <t>Pila madera aserrada (m3)</t>
  </si>
  <si>
    <t>Densidad media de apilado</t>
  </si>
  <si>
    <t>Longitud de pila (m)</t>
  </si>
  <si>
    <t>Superficie Total del emplazamiento (m2)</t>
  </si>
  <si>
    <t>Vias de circulación rodada (mts)</t>
  </si>
  <si>
    <t>Superficie Total del emplazamiento (ha)</t>
  </si>
  <si>
    <t>Superficie de apilado por especie (m2)</t>
  </si>
  <si>
    <t>Densidad media de pila (%)</t>
  </si>
  <si>
    <t>Superficie Total  por especie (x4,5) (m2)</t>
  </si>
  <si>
    <t>Volumen madera producida en stock (m3)</t>
  </si>
  <si>
    <t>Superficie madera producida por especie (m2)</t>
  </si>
  <si>
    <t>Cantidad estimada de especies</t>
  </si>
  <si>
    <t>Superficie Total  por especie (x6) (m2)</t>
  </si>
  <si>
    <t>Volumen de almacenaje de trozas</t>
  </si>
  <si>
    <t>Total días del año</t>
  </si>
  <si>
    <t>Cierra anual por vacaciones</t>
  </si>
  <si>
    <t>Días fin de semana no productivos (50*2)</t>
  </si>
  <si>
    <t>Feriados</t>
  </si>
  <si>
    <t>Total de días no trabajados</t>
  </si>
  <si>
    <t>Días de producción al año</t>
  </si>
  <si>
    <t>Necesidades diarias de volumen de trozas (m3/día)</t>
  </si>
  <si>
    <t xml:space="preserve">Dias de trabajo en los que no se puede entregar trozas </t>
  </si>
  <si>
    <t>Stock mínimo de seguridad (m3)</t>
  </si>
  <si>
    <t>Días con entrega de trozas</t>
  </si>
  <si>
    <t>Volumen a entregar (m3/día)</t>
  </si>
  <si>
    <t>Superficie para Madera Aserrada</t>
  </si>
  <si>
    <t>Superficie de descarga/ almacenamiento de desechos</t>
  </si>
  <si>
    <t>6.3.1</t>
  </si>
  <si>
    <t>CATEGORIA</t>
  </si>
  <si>
    <t>CANTIDAD</t>
  </si>
  <si>
    <t>MECANICO</t>
  </si>
  <si>
    <t>GERENTE DE VENTAS</t>
  </si>
  <si>
    <t>PERSONAL ADMINISTRATIVO</t>
  </si>
  <si>
    <t>MANO DE OBRA INDIRECTA</t>
  </si>
  <si>
    <t>MANO DE OBRA DIRECTA</t>
  </si>
  <si>
    <t>OPERADOR AUTOELEVADOR</t>
  </si>
  <si>
    <t>AYUDANTE</t>
  </si>
  <si>
    <t>CCT MAYO 15 $</t>
  </si>
  <si>
    <t>Horas trabajadas por año</t>
  </si>
  <si>
    <t>CCT</t>
  </si>
  <si>
    <t>Ayudante</t>
  </si>
  <si>
    <t>Oficial Especializado</t>
  </si>
  <si>
    <t>Dolar</t>
  </si>
  <si>
    <t>Jornadas trabajadas por año</t>
  </si>
  <si>
    <t>Jornal</t>
  </si>
  <si>
    <t>Mensual</t>
  </si>
  <si>
    <t>Repuestos importados  (10%)</t>
  </si>
  <si>
    <t>Pick Up</t>
  </si>
  <si>
    <t>Cantidad</t>
  </si>
  <si>
    <t>Longitiud Trozas (m)</t>
  </si>
  <si>
    <t>Total Activo realizable</t>
  </si>
  <si>
    <t xml:space="preserve">Total Pasivo exigible </t>
  </si>
  <si>
    <t>VIGILANCIA</t>
  </si>
  <si>
    <t>Transporte local y entrega en obra (12%)</t>
  </si>
  <si>
    <t>GASTOS PREVIOS</t>
  </si>
  <si>
    <t>CAPACITACIÓN (6 meses)</t>
  </si>
  <si>
    <t>COSTO TOTAL</t>
  </si>
  <si>
    <t>PRUEBAS FUNCIONAMIENTO</t>
  </si>
  <si>
    <t>OBSERVACIONES</t>
  </si>
  <si>
    <t>6 meses de capacitación a todo el personal</t>
  </si>
  <si>
    <t>2 meses al 15% de capacidad</t>
  </si>
  <si>
    <t>Trozas</t>
  </si>
  <si>
    <t xml:space="preserve">Combustible </t>
  </si>
  <si>
    <t>29 l/hs* 8hs/día*40días*0,8US$/l</t>
  </si>
  <si>
    <t>Camión</t>
  </si>
  <si>
    <t>50km/día*40dias*0,25US$/km</t>
  </si>
  <si>
    <t>Suministros</t>
  </si>
  <si>
    <t>Gastos de oficina</t>
  </si>
  <si>
    <t>INSUMOS</t>
  </si>
  <si>
    <t>Gas Oil (Generadores) (Lt/hs)</t>
  </si>
  <si>
    <t>Combustible Autoelevador (Lt/hs)</t>
  </si>
  <si>
    <t>Lubricantes (Lt/día)</t>
  </si>
  <si>
    <t>Pick up (km/día)</t>
  </si>
  <si>
    <t>Gastos de oficina (us$/mes)</t>
  </si>
  <si>
    <t xml:space="preserve">DATOS </t>
  </si>
  <si>
    <t>Mantenimiento</t>
  </si>
  <si>
    <t>Mantenimiento (US$/m3 trozas)</t>
  </si>
  <si>
    <t>Año  (días/año)</t>
  </si>
  <si>
    <t>Cargas Sociales +  Vacaciones</t>
  </si>
  <si>
    <t>Hectarea ($/ha)</t>
  </si>
  <si>
    <t>PRECIO Eucalypto  ($/m3)</t>
  </si>
  <si>
    <t>PRECIO Eucalypto (US$/m3)</t>
  </si>
  <si>
    <t>Costo  Trozas Ecalypto (US$/m3)</t>
  </si>
  <si>
    <r>
      <t>1 m</t>
    </r>
    <r>
      <rPr>
        <vertAlign val="superscript"/>
        <sz val="12"/>
        <color indexed="8"/>
        <rFont val="Tahoma"/>
        <family val="2"/>
      </rPr>
      <t>3</t>
    </r>
    <r>
      <rPr>
        <sz val="12"/>
        <color indexed="8"/>
        <rFont val="Tahoma"/>
        <family val="2"/>
      </rPr>
      <t xml:space="preserve"> de madera rinde 2.6 m</t>
    </r>
    <r>
      <rPr>
        <vertAlign val="superscript"/>
        <sz val="12"/>
        <color indexed="8"/>
        <rFont val="Tahoma"/>
        <family val="2"/>
      </rPr>
      <t>3</t>
    </r>
    <r>
      <rPr>
        <sz val="12"/>
        <color indexed="8"/>
        <rFont val="Tahoma"/>
        <family val="2"/>
      </rPr>
      <t xml:space="preserve"> de chips </t>
    </r>
  </si>
  <si>
    <t>Aserrín Tn/m3</t>
  </si>
  <si>
    <t>Chips Tn/m3</t>
  </si>
  <si>
    <t xml:space="preserve"> ROGER BALET</t>
  </si>
  <si>
    <t>ROTACIÓN (Años)</t>
  </si>
  <si>
    <t>VOLUMEN DE TROZAS A PROCESAR (M3)</t>
  </si>
  <si>
    <t>AREA ANUAL REQUERIDA 
(ha)</t>
  </si>
  <si>
    <t>PLANTACIÓN</t>
  </si>
  <si>
    <t>PRODUCCIÓN (M3/ha) 
(con corteza)</t>
  </si>
  <si>
    <t>AREA TOTAL REQUERIDA
 (ha)</t>
  </si>
  <si>
    <t>Costo Trozas Ecalypto ($/Tn) (*)</t>
  </si>
  <si>
    <t>TOTAL GASTOS PREVIOS</t>
  </si>
  <si>
    <t>datos campo</t>
  </si>
  <si>
    <t>ha forestadas</t>
  </si>
  <si>
    <t>ha forestables</t>
  </si>
  <si>
    <t>Tamaño</t>
  </si>
  <si>
    <t>ha</t>
  </si>
  <si>
    <t>Especies</t>
  </si>
  <si>
    <t>grandis</t>
  </si>
  <si>
    <t>dunis</t>
  </si>
  <si>
    <t>hibrido</t>
  </si>
  <si>
    <t>50 ha/año</t>
  </si>
  <si>
    <t>Explotación</t>
  </si>
  <si>
    <t>250 Tn/ha</t>
  </si>
  <si>
    <t>no todo es aserrable</t>
  </si>
  <si>
    <t>Rotación</t>
  </si>
  <si>
    <t>10 a 15</t>
  </si>
  <si>
    <t>años</t>
  </si>
  <si>
    <t>En cuanto a la cantidad de aserraderos si bien no hay información reciente. Según</t>
  </si>
  <si>
    <t>alrededor de 13 operarios</t>
  </si>
  <si>
    <t>Volumen trozas (m3/año)</t>
  </si>
  <si>
    <t>Madera aserrada (m3/año)</t>
  </si>
  <si>
    <t>Madera aserrada (m3/mes)</t>
  </si>
  <si>
    <t>Dólar Oficial</t>
  </si>
  <si>
    <t>COSTOS DIRECTOS</t>
  </si>
  <si>
    <t xml:space="preserve">COSTOS INDIRECTOS </t>
  </si>
  <si>
    <t>Rendimiento (%)</t>
  </si>
  <si>
    <t>TIR (%)</t>
  </si>
  <si>
    <t>Chips (m3) (35%)</t>
  </si>
  <si>
    <t>Aserrin (m3)(aprox 15%)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</si>
  <si>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</si>
  <si>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</si>
  <si>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</si>
  <si>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</si>
  <si>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</si>
  <si>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</si>
  <si>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</si>
  <si>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</si>
  <si>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</si>
  <si>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 xml:space="preserve">Lubricantes </t>
  </si>
  <si>
    <t xml:space="preserve">Pick up </t>
  </si>
  <si>
    <t>TOTAL COSTOS VARIABLES</t>
  </si>
  <si>
    <t>Del flujograma</t>
  </si>
  <si>
    <t>Transporte a la cancha de trozas</t>
  </si>
  <si>
    <t>Descortezado del tronco (opcional)</t>
  </si>
  <si>
    <t xml:space="preserve">Depósito de troncos o cancha de trozas </t>
  </si>
  <si>
    <t>Transporte de troncos al proceso de trozado</t>
  </si>
  <si>
    <t>Selección automática de los cortes de madera</t>
  </si>
  <si>
    <t>Transporte del núcleo del tronco o tabla a la sierra circular múltiple</t>
  </si>
  <si>
    <t>NA</t>
  </si>
  <si>
    <t>Tableado de la madera con sierra circular múltiple</t>
  </si>
  <si>
    <t>Salida de material</t>
  </si>
  <si>
    <t xml:space="preserve">Transporte de las tablas al proceso de despuntado </t>
  </si>
  <si>
    <t>Despuntado de tablas con sierras circulares</t>
  </si>
  <si>
    <t>Operador</t>
  </si>
  <si>
    <t>Disposición del producto</t>
  </si>
  <si>
    <t>Estibaje de las tablas y zunchado</t>
  </si>
  <si>
    <t>Ayudantes</t>
  </si>
  <si>
    <t>Transporte del producto terminado o semielaborado al depósito</t>
  </si>
  <si>
    <t>Depósito de producto terminado o semielaborado</t>
  </si>
  <si>
    <t>Almacenamiento</t>
  </si>
  <si>
    <t xml:space="preserve">Transporte de costaneros </t>
  </si>
  <si>
    <t>Proceso de corte mediante una sierra sin fin horizontal</t>
  </si>
  <si>
    <t>Transporte automático de tablas a la sierra circular múltiple</t>
  </si>
  <si>
    <t xml:space="preserve">Tableado por medio de una sierra circular múltiple </t>
  </si>
  <si>
    <t>Transporte automático de las tablas a la despuntadora</t>
  </si>
  <si>
    <t>Transporte automático del costanero para el reprocesado en la sierra sin fin horizontal</t>
  </si>
  <si>
    <t xml:space="preserve">Transporte automático del rezago hacia la chipeadora </t>
  </si>
  <si>
    <t>Chipeado</t>
  </si>
  <si>
    <t>Transporte automático a la tolva o receptáculo para el chip</t>
  </si>
  <si>
    <t>Transporte por medio de autoelevador para su embalaje</t>
  </si>
  <si>
    <t>Almacenamiento del chip</t>
  </si>
  <si>
    <t>Transporte automático a batea con fungicida</t>
  </si>
  <si>
    <t>Tratamiento químico por inmersión en batea</t>
  </si>
  <si>
    <t xml:space="preserve">Transporte automático o por medio de autoelevador para su embalaje </t>
  </si>
  <si>
    <t>Transporte por medio de autoelevador al horno de secado</t>
  </si>
  <si>
    <t xml:space="preserve">Secado por medio de horno de circulación de aire caliente </t>
  </si>
  <si>
    <t>N°</t>
  </si>
  <si>
    <t>Descripcion</t>
  </si>
  <si>
    <t>Puesto</t>
  </si>
  <si>
    <t>Operador autoelevador</t>
  </si>
  <si>
    <t xml:space="preserve">Puesto de comando </t>
  </si>
  <si>
    <t>OPCIONAL</t>
  </si>
  <si>
    <t>PROYECTO</t>
  </si>
  <si>
    <t>TOTAL MO DIRECTA</t>
  </si>
  <si>
    <t>Categoria</t>
  </si>
  <si>
    <t>Oficial General</t>
  </si>
  <si>
    <t>Transporte de los troncos descortezados (opcional)</t>
  </si>
  <si>
    <t>Corte del rollizo con sierra sin fin</t>
  </si>
  <si>
    <t>Operador autoelevador
(idem 1)</t>
  </si>
  <si>
    <t>OPERADOR</t>
  </si>
  <si>
    <t>PUESTO DE COMANDO</t>
  </si>
  <si>
    <t>Autolevador (4 Tn) (x2)</t>
  </si>
  <si>
    <t>REGIMEN DE TRABAJO</t>
  </si>
  <si>
    <t>Turno/día</t>
  </si>
  <si>
    <t>Horas/día</t>
  </si>
  <si>
    <t>PRECIO Eucalypto ($/P2) (**)</t>
  </si>
  <si>
    <t>PRECIO Aserrín Ecalypto ($/Tn) (***)</t>
  </si>
  <si>
    <t>(**) Eucalipto 1" ( tabla estandar verde)</t>
  </si>
  <si>
    <t>(***) Aserrín de eucalipto (puesto en fábrica)</t>
  </si>
  <si>
    <t>PRECIO CHIP Eucalypto ($/Tn) (****)</t>
  </si>
  <si>
    <t>(****) Chips de eucalipto (en fábrica, con corteza)</t>
  </si>
  <si>
    <t>Planilla de precios forestales - Zona NE de Entre Ríos (31 de diciembre de 2014)</t>
  </si>
  <si>
    <t>Stock minimo de trozas (m3)</t>
  </si>
  <si>
    <t>TOTAL EMPLAZAMIENTO Y ESTRUCTURAS</t>
  </si>
  <si>
    <t>Superficie Total (m2)</t>
  </si>
  <si>
    <t xml:space="preserve">Superficie Total p/ trozas </t>
  </si>
  <si>
    <t xml:space="preserve">Superficie Total p/ madera aserrada  </t>
  </si>
  <si>
    <t>Superficie Oficinas</t>
  </si>
  <si>
    <t>Maquinaria p/aserrio (CIF)</t>
  </si>
  <si>
    <t>6.10.1.7. Gastos previos a la puesta en marcha</t>
  </si>
  <si>
    <t>(*) Rollizos para aserraderos (en playa de aserradero) del tipo Eucalipto (+18 cm en punta fina) con corteza</t>
  </si>
  <si>
    <t>COSTOS</t>
  </si>
  <si>
    <t>PRECIOS</t>
  </si>
  <si>
    <t>SERVICIOS  - FLETE</t>
  </si>
  <si>
    <t>Madera aserrada (430 km) Euc. Verde ($/P2)</t>
  </si>
  <si>
    <t>Madera rolliza (medio 30 km) Euc. Verde ($/TN)</t>
  </si>
  <si>
    <t>CUADRO DE RESULTADOS</t>
  </si>
  <si>
    <t>Headcount</t>
  </si>
  <si>
    <t>% Ventas</t>
  </si>
  <si>
    <t>% ventas</t>
  </si>
  <si>
    <t>g</t>
  </si>
  <si>
    <t>Crecimiento anual ventas  (%)</t>
  </si>
  <si>
    <t>Rendimiento</t>
  </si>
  <si>
    <t>Utilización</t>
  </si>
  <si>
    <t>Año 0</t>
  </si>
  <si>
    <t>Año1</t>
  </si>
  <si>
    <t>SUPUESTOS</t>
  </si>
  <si>
    <t>(1) Rollizos para aserraderos (en playa de aserradero) del tipo Eucalipto (+18 cm en punta fina) con corteza</t>
  </si>
  <si>
    <t>PRODUCTOS</t>
  </si>
  <si>
    <t xml:space="preserve">Chips de eucalipto </t>
  </si>
  <si>
    <t xml:space="preserve">Aserrín de eucalipto </t>
  </si>
  <si>
    <t>Madera aserrada</t>
  </si>
  <si>
    <t>COSTO LABORAL ANUAL $</t>
  </si>
  <si>
    <t>Precio Eucalipto (1)</t>
  </si>
  <si>
    <t>Costo Trozas Ecalypto ($/m3) (*)</t>
  </si>
  <si>
    <t>Mecánico</t>
  </si>
  <si>
    <t>Puesto de Comando</t>
  </si>
  <si>
    <t>Operador Autoelevador</t>
  </si>
  <si>
    <t>Roger Balet</t>
  </si>
  <si>
    <t>SUPERVISOR</t>
  </si>
  <si>
    <t>Gerente de Ventas</t>
  </si>
  <si>
    <t>Supervisor</t>
  </si>
  <si>
    <t>Administracion</t>
  </si>
  <si>
    <t>Vigilancia</t>
  </si>
  <si>
    <t>Costo Operador</t>
  </si>
  <si>
    <t>Costos Operador Autoelevador</t>
  </si>
  <si>
    <t>Costo Mécanico</t>
  </si>
  <si>
    <t>Costo Puesto de Comando</t>
  </si>
  <si>
    <t>Costo Ayudante</t>
  </si>
  <si>
    <t>Costo Roger Balet</t>
  </si>
  <si>
    <t>Costo Gerente de Ventas</t>
  </si>
  <si>
    <t>Costo Supervisor</t>
  </si>
  <si>
    <t>Costo Administracion</t>
  </si>
  <si>
    <t>Costo Vigilancia</t>
  </si>
  <si>
    <t>Sub TOTAL MO INDIRECTA c/ CS</t>
  </si>
  <si>
    <t>Sub TOTAL MO DIRECTA c/ CS</t>
  </si>
  <si>
    <t>Costo Autoelevador</t>
  </si>
  <si>
    <t>Horas anuales de funcionamiento (hs/año)</t>
  </si>
  <si>
    <t>Precio Combustible  ($/Lt)</t>
  </si>
  <si>
    <t>Consumo Gas Oil (Lt/hs)</t>
  </si>
  <si>
    <t>Adecuación del terreno y emplazamiento</t>
  </si>
  <si>
    <t>Estructuras</t>
  </si>
  <si>
    <t>Gastos generales de construcción (10%)</t>
  </si>
  <si>
    <t>AR$</t>
  </si>
  <si>
    <t>EMPLAZAMIENTO Y ESTRUCTURAS (30 años)</t>
  </si>
  <si>
    <t>TOTAL EQUIPAMIENTO amortizable (10 años)</t>
  </si>
  <si>
    <t>TIR (10 años)</t>
  </si>
  <si>
    <t>Fuente: INTA, Dic 2014</t>
  </si>
  <si>
    <t>Stock Total</t>
  </si>
  <si>
    <t>Puebas de funcionamiento</t>
  </si>
  <si>
    <t>Trozas (2 meses al 15% de capacidad)</t>
  </si>
  <si>
    <t>Cuentas a cobrar - 1 mes ventas</t>
  </si>
  <si>
    <t>Cuentas a Pagar - 1 mes de compras</t>
  </si>
  <si>
    <t xml:space="preserve">Gas oil - Generadores </t>
  </si>
  <si>
    <t>8.1.1</t>
  </si>
  <si>
    <t>8.1.1.1</t>
  </si>
  <si>
    <t>8.1.1.3</t>
  </si>
  <si>
    <t>8.1.1.4</t>
  </si>
  <si>
    <t>8.1.1.5</t>
  </si>
  <si>
    <t>8.1.1.6</t>
  </si>
  <si>
    <t>8.1.1.7</t>
  </si>
  <si>
    <t>8.1.1.8</t>
  </si>
  <si>
    <t>8.1.3.5</t>
  </si>
  <si>
    <t>8.1.3.6</t>
  </si>
  <si>
    <t>Equipos de elaboración y Equipos auxiliares</t>
  </si>
  <si>
    <t>Sub-productos</t>
  </si>
  <si>
    <t>MP Eucalipto</t>
  </si>
  <si>
    <t xml:space="preserve">Mano de obra Directa </t>
  </si>
  <si>
    <t xml:space="preserve">Mano de Obra Indirecta </t>
  </si>
  <si>
    <t>Precios por calidades</t>
  </si>
  <si>
    <t>Headcount Mano de obra Directa</t>
  </si>
  <si>
    <t>Headcount Mano de Obra Indirecta</t>
  </si>
  <si>
    <t xml:space="preserve">TOTAL MANO DE OBRA </t>
  </si>
  <si>
    <t>Costos de Ingeniería (8%)</t>
  </si>
  <si>
    <t>Energía Electrica</t>
  </si>
  <si>
    <t xml:space="preserve">6.11.1.7 </t>
  </si>
  <si>
    <t>Precio Unitario Ponderado</t>
  </si>
  <si>
    <t>Costo Unitario Eucalipto (1)</t>
  </si>
  <si>
    <t>Costos Unitario Energía Electrica</t>
  </si>
  <si>
    <t>Costo Unitario Pick Up</t>
  </si>
  <si>
    <t>Costo Unitario Autoelevador</t>
  </si>
  <si>
    <t xml:space="preserve">Costo Unitario Gas oil - Generadores </t>
  </si>
  <si>
    <t>Costo Unitario Lubricantes</t>
  </si>
  <si>
    <t>Costo Unitario Mantenimiento</t>
  </si>
  <si>
    <t xml:space="preserve">Costo Unitario Imprevistos </t>
  </si>
  <si>
    <t xml:space="preserve">Costos Unitario Mano de obra Directa </t>
  </si>
  <si>
    <t xml:space="preserve">Costos Unitario Mano de Obra Indirecta </t>
  </si>
  <si>
    <t>Costos Variables</t>
  </si>
  <si>
    <t>Costos Fijos</t>
  </si>
  <si>
    <t>Materia Prima Eucalipto</t>
  </si>
  <si>
    <t>Año 1</t>
  </si>
  <si>
    <t>PRECIO UNITARIO DE VENTA</t>
  </si>
  <si>
    <t>PRODUCCIÓN DE EQUILIBRIO (m3 de madera)</t>
  </si>
  <si>
    <t>Administración gastos, generales</t>
  </si>
  <si>
    <t>Rentabilidad bruta de la inversión total</t>
  </si>
  <si>
    <t xml:space="preserve">8.1.3.1. </t>
  </si>
  <si>
    <t>Proporción de cobertura de intereses</t>
  </si>
  <si>
    <t>8.1.3.3</t>
  </si>
  <si>
    <t>8.1.3.4</t>
  </si>
  <si>
    <t>Período de devolución</t>
  </si>
  <si>
    <r>
      <t>R</t>
    </r>
    <r>
      <rPr>
        <b/>
        <i/>
        <vertAlign val="subscript"/>
        <sz val="13"/>
        <rFont val="Palatino Linotype"/>
        <family val="1"/>
      </rPr>
      <t>M</t>
    </r>
    <r>
      <rPr>
        <b/>
        <i/>
        <sz val="13"/>
        <rFont val="Palatino Linotype"/>
        <family val="1"/>
      </rPr>
      <t>-R</t>
    </r>
    <r>
      <rPr>
        <b/>
        <i/>
        <vertAlign val="subscript"/>
        <sz val="13"/>
        <rFont val="Palatino Linotype"/>
        <family val="1"/>
      </rPr>
      <t xml:space="preserve">f </t>
    </r>
    <r>
      <rPr>
        <b/>
        <i/>
        <sz val="13"/>
        <rFont val="Palatino Linotype"/>
        <family val="1"/>
      </rPr>
      <t>=</t>
    </r>
  </si>
  <si>
    <t>Valor Terminal</t>
  </si>
  <si>
    <t>Componente</t>
  </si>
  <si>
    <t>Proporción</t>
  </si>
  <si>
    <t>Tasa de Impuestos</t>
  </si>
  <si>
    <t>Kd</t>
  </si>
  <si>
    <t>T</t>
  </si>
  <si>
    <t>D/(E+D)</t>
  </si>
  <si>
    <t>E/(E+D)</t>
  </si>
  <si>
    <t>Deuda (D)</t>
  </si>
  <si>
    <t>WACC</t>
  </si>
  <si>
    <t>K</t>
  </si>
  <si>
    <t>W</t>
  </si>
  <si>
    <t xml:space="preserve">Prestamo </t>
  </si>
  <si>
    <t>TNA</t>
  </si>
  <si>
    <t>TNM</t>
  </si>
  <si>
    <t>Intereses</t>
  </si>
  <si>
    <t>Cuota</t>
  </si>
  <si>
    <t>Plazo (años)</t>
  </si>
  <si>
    <t>Amort</t>
  </si>
  <si>
    <t>Ke</t>
  </si>
  <si>
    <t>Acciones comunes E</t>
  </si>
  <si>
    <t>Riesgo País Argentina =</t>
  </si>
  <si>
    <r>
      <t>R</t>
    </r>
    <r>
      <rPr>
        <b/>
        <i/>
        <vertAlign val="subscript"/>
        <sz val="13"/>
        <rFont val="Palatino Linotype"/>
        <family val="1"/>
      </rPr>
      <t xml:space="preserve">f (Tasas del Tesoro de E.U.A 10 años) </t>
    </r>
    <r>
      <rPr>
        <b/>
        <i/>
        <sz val="13"/>
        <rFont val="Palatino Linotype"/>
        <family val="1"/>
      </rPr>
      <t>=</t>
    </r>
  </si>
  <si>
    <t>B =</t>
  </si>
  <si>
    <t>Desperdicio</t>
  </si>
  <si>
    <t>Otros Materiales</t>
  </si>
  <si>
    <t>Ventas</t>
  </si>
  <si>
    <t>Cobranzas</t>
  </si>
  <si>
    <t>Cuentas a cobrar</t>
  </si>
  <si>
    <t>Inventario</t>
  </si>
  <si>
    <t>Reservas</t>
  </si>
  <si>
    <t>Costos</t>
  </si>
  <si>
    <t>Financiamiento de proveedores</t>
  </si>
  <si>
    <t>Cuentas a pagar</t>
  </si>
  <si>
    <t>Capital de trabajo necesario</t>
  </si>
  <si>
    <t>WK/Sales</t>
  </si>
  <si>
    <t>Capital Invertido</t>
  </si>
  <si>
    <t>CAPEX</t>
  </si>
  <si>
    <t>Share en activos fijos</t>
  </si>
  <si>
    <t>Madera consumida</t>
  </si>
  <si>
    <t xml:space="preserve">Madera aserrada </t>
  </si>
  <si>
    <t xml:space="preserve">Suproductos </t>
  </si>
  <si>
    <t xml:space="preserve"> (US$/m3)</t>
  </si>
  <si>
    <t>Días x año</t>
  </si>
  <si>
    <t>Madera    m3/tn</t>
  </si>
  <si>
    <t xml:space="preserve"> Madera   p2/m3</t>
  </si>
  <si>
    <t>Madera  m3/ tn</t>
  </si>
  <si>
    <t>Aserrín  m3/ tn</t>
  </si>
  <si>
    <t>Chips  m3/ tn</t>
  </si>
  <si>
    <t>PRODUCCIÓN. RENDIMIENTO</t>
  </si>
  <si>
    <t>m3</t>
  </si>
  <si>
    <t>Chips de eucalipto</t>
  </si>
  <si>
    <t xml:space="preserve">Aserrín de eucalipto  </t>
  </si>
  <si>
    <t>Costo  Trozas Ecalipto (US$/m3)</t>
  </si>
  <si>
    <t>Eucalipto 1" (Tabla estandar verde) - $/p2</t>
  </si>
  <si>
    <t>Eucalipto 1" (Tabla seca estandar) - $/p2</t>
  </si>
  <si>
    <t>Eucalipto 1" (tabla seca seleccionada) - $/p2</t>
  </si>
  <si>
    <t>Aserrín de eucalipto (puesto en fábrica)</t>
  </si>
  <si>
    <t>Chips de eucalipto (en fábrica, con corteza)</t>
  </si>
  <si>
    <t>Chips de eucalipto (en fábrica, con corteza) - $/m3</t>
  </si>
  <si>
    <t>Aserrín de eucalipto (puesto en fábrica) - $/m3</t>
  </si>
  <si>
    <t>Costo Trozas Ecalipto ($/m3) (1)</t>
  </si>
  <si>
    <t>Costo Trozas Ecalipto ($/Tn) (1)</t>
  </si>
  <si>
    <t xml:space="preserve"> US$/m3</t>
  </si>
  <si>
    <t>US$/m3</t>
  </si>
  <si>
    <t>Consumo Combustible (Lt/hs)</t>
  </si>
  <si>
    <t>Precio Combustible  (US$/Lt)</t>
  </si>
  <si>
    <t>Pick up (US$/km)</t>
  </si>
  <si>
    <t>Combustible (29 l/hs* 8hs/día*40días*1,4$/l)</t>
  </si>
  <si>
    <t>Pick up(50km/día*40dias*1,4$/km)</t>
  </si>
  <si>
    <t xml:space="preserve">WACC </t>
  </si>
  <si>
    <r>
      <t xml:space="preserve">VAN </t>
    </r>
    <r>
      <rPr>
        <b/>
        <sz val="10"/>
        <color theme="1"/>
        <rFont val="Calibri"/>
        <family val="2"/>
        <scheme val="minor"/>
      </rPr>
      <t>(WACC)</t>
    </r>
  </si>
  <si>
    <t>CONTRIBUCION MARGINAL UNITARIA (US$/m3)</t>
  </si>
  <si>
    <t>Costo Unitario (US$/m3)</t>
  </si>
  <si>
    <t>TOTAL COSTOS FIJOS</t>
  </si>
  <si>
    <t>Ventas en el Punto de Equilibrio US$</t>
  </si>
  <si>
    <t>AR$/US$</t>
  </si>
  <si>
    <t>Monto (US$)</t>
  </si>
  <si>
    <t>DATOS</t>
  </si>
  <si>
    <t>I - Inflación - (IPC %)</t>
  </si>
  <si>
    <t>D - Devaluación (%)</t>
  </si>
  <si>
    <t>I - D (%)</t>
  </si>
  <si>
    <t>Tipo de Cambio Oficial - (AR$/US$)</t>
  </si>
  <si>
    <t>COSTOS MATERIA PRIMA</t>
  </si>
  <si>
    <t>PRECIOS PROUCTOS</t>
  </si>
  <si>
    <t>PRECIOS TERRENOS</t>
  </si>
  <si>
    <t>Tierra con aptitud forestal (US$/ha)</t>
  </si>
  <si>
    <t xml:space="preserve">Eucalipto 1" (Tabla estandar verde) </t>
  </si>
  <si>
    <t xml:space="preserve">Eucalipto 1" (Tabla seca estandar) </t>
  </si>
  <si>
    <t xml:space="preserve">Eucalipto 1" (tabla seca seleccionada) </t>
  </si>
  <si>
    <t>Ventas por calidades (+)</t>
  </si>
  <si>
    <t>Pagina de Internet</t>
  </si>
  <si>
    <t>Publicidad &amp; Marketing</t>
  </si>
  <si>
    <t>Promociones</t>
  </si>
  <si>
    <t>COSTO DE VENTAS  (-)</t>
  </si>
  <si>
    <t>Amortización</t>
  </si>
  <si>
    <t>Relacion con la madera producida</t>
  </si>
  <si>
    <t>Abono Pagina de Internet</t>
  </si>
  <si>
    <t>Presencia en Ferias &amp; Exposiciones</t>
  </si>
  <si>
    <t>Publicidad &amp; Marketing en Revistas</t>
  </si>
  <si>
    <t>Interes</t>
  </si>
  <si>
    <t>Saldo</t>
  </si>
  <si>
    <t>DEPRECIACIONES Y AMORTIZACIONES (+)</t>
  </si>
  <si>
    <t>activar</t>
  </si>
  <si>
    <t>GASTOS PREVIOS PUESTA EN MARCHA (-)</t>
  </si>
  <si>
    <t>COSTOS DE FABRICACIÓN (-)</t>
  </si>
  <si>
    <t>BENEFICIO BRUTO (=)</t>
  </si>
  <si>
    <t>MARKETING, GASTOS GENERALES (-)</t>
  </si>
  <si>
    <t>DEPRECIACIONES Y AMORTIZACIONES (-)</t>
  </si>
  <si>
    <t>EBITDA (=)</t>
  </si>
  <si>
    <t>IMPUESTOS (35%) (-)</t>
  </si>
  <si>
    <t>UTILIDAD ANTES DE IMPUESTOS (=)</t>
  </si>
  <si>
    <t>INTERESES (-)</t>
  </si>
  <si>
    <t xml:space="preserve">m3 </t>
  </si>
  <si>
    <t xml:space="preserve">Capacidad Instalada </t>
  </si>
  <si>
    <t>8.1.1.2</t>
  </si>
  <si>
    <t>8.1.1.9</t>
  </si>
  <si>
    <t>8.1.2</t>
  </si>
  <si>
    <t>UTILIDAD NETA DESPUES IMPUESTOS (NOPAT) (=)</t>
  </si>
  <si>
    <t>FREE CASH FLOW (FCFF) (=)</t>
  </si>
  <si>
    <t>Eucalipto 1 1/2" (Tabla estandar verde) - $/p2</t>
  </si>
  <si>
    <t>Eucalipto 1" (Listones seca estandar) - $/p2</t>
  </si>
  <si>
    <t xml:space="preserve">Eucalipto 1 1/2" (Tabla estandar verde) </t>
  </si>
  <si>
    <t xml:space="preserve">Eucalipto 1" (Listones seca estandar) </t>
  </si>
  <si>
    <t>no abrir</t>
  </si>
  <si>
    <t>Impuesto IB y TSH (2%) (-)</t>
  </si>
  <si>
    <t>Ventas Netas</t>
  </si>
  <si>
    <t>Resultado Neto</t>
  </si>
  <si>
    <t>Ratio de Liquidez</t>
  </si>
  <si>
    <t>Ratio de Endeudamiento</t>
  </si>
  <si>
    <t>Deuda Financier/ Ventas (días)</t>
  </si>
  <si>
    <t>Rotación de Activos (veces)</t>
  </si>
  <si>
    <t>Plazo Medio de Pago (días)</t>
  </si>
  <si>
    <t>Rotación de Stocks (días)</t>
  </si>
  <si>
    <t>Plazo Medio de Cobro (días)</t>
  </si>
  <si>
    <t>Rentabilidad del Activo (%)</t>
  </si>
  <si>
    <t>Rentabilidad/ PN (%)</t>
  </si>
  <si>
    <t>Rentabilidad/ Ventas (%)</t>
  </si>
  <si>
    <t>Evolución Ventas (%)</t>
  </si>
  <si>
    <t>ACTIVO CP</t>
  </si>
  <si>
    <t>Caja y Bancos</t>
  </si>
  <si>
    <t>Inversiones CP</t>
  </si>
  <si>
    <t>Cuentas a Cobrar</t>
  </si>
  <si>
    <t>Bienes de Cambio</t>
  </si>
  <si>
    <t>Deudores</t>
  </si>
  <si>
    <t>ACTIVO LP</t>
  </si>
  <si>
    <t>Inversiones LP</t>
  </si>
  <si>
    <t>Creditos Financieros</t>
  </si>
  <si>
    <t>Bienes de Uso</t>
  </si>
  <si>
    <t>Bienes Intangibles</t>
  </si>
  <si>
    <t xml:space="preserve">TOTAL ACTIVO </t>
  </si>
  <si>
    <t>PASIVO CP</t>
  </si>
  <si>
    <t>Deuda Bancaria CP</t>
  </si>
  <si>
    <t>Proveedores</t>
  </si>
  <si>
    <t>Deuda Financiera</t>
  </si>
  <si>
    <t>Deudas sociales y fiscales</t>
  </si>
  <si>
    <t>Dividendos y Hon. a Pagar</t>
  </si>
  <si>
    <t>Previsiones</t>
  </si>
  <si>
    <t>PASIVO LP</t>
  </si>
  <si>
    <t>Deuda Bancaria y Financiera</t>
  </si>
  <si>
    <t>TOTAL PASIVO</t>
  </si>
  <si>
    <t>PATRIMONIO NETO</t>
  </si>
  <si>
    <t>Resultados del Ejercicio</t>
  </si>
  <si>
    <t>TOTAL PASIVO + PN</t>
  </si>
  <si>
    <t>ACTIVO - (PASIVO + PN)</t>
  </si>
  <si>
    <t>Capacitación (4 meses)</t>
  </si>
  <si>
    <t>Gastos Previos</t>
  </si>
  <si>
    <t>Materia Prima  - 15 dias stock</t>
  </si>
  <si>
    <t xml:space="preserve">Eucalipto 1" (Listones seca estándar) </t>
  </si>
  <si>
    <t xml:space="preserve">Eucalipto 1" (Tabla estándar verde) </t>
  </si>
  <si>
    <t>Eucalipto 1" (Tabla seca estándar)</t>
  </si>
  <si>
    <t>VENDEDORES</t>
  </si>
  <si>
    <t>Vendedores</t>
  </si>
  <si>
    <t>Costo Vendedores</t>
  </si>
  <si>
    <t>Comisión de Ventas (1,2%)</t>
  </si>
  <si>
    <t xml:space="preserve">VENTAS </t>
  </si>
  <si>
    <t xml:space="preserve">RESULTADO OPERATIVO EBIT </t>
  </si>
  <si>
    <t>TOTAL FREE CASH FLOW (FCFF) (=)</t>
  </si>
  <si>
    <t>Comisión de Ventas</t>
  </si>
  <si>
    <t>Valor Agregado(uS$/Tn)</t>
  </si>
  <si>
    <t>Periodo</t>
  </si>
  <si>
    <t>Rendimiento Promedio</t>
  </si>
  <si>
    <t xml:space="preserve">Costo Trozas Ecalypto ($/Tn) </t>
  </si>
  <si>
    <t>Tasa devaluación</t>
  </si>
  <si>
    <t>Supuestos para el cómputo de Ke:</t>
  </si>
  <si>
    <t>Madera Aserrada - 40 % de la producción  mensual * costo unitario</t>
  </si>
  <si>
    <t>Pago Dividendos</t>
  </si>
  <si>
    <t>Aportes de Capital</t>
  </si>
  <si>
    <t>Aportes de capital</t>
  </si>
  <si>
    <t>Costo de certificaciones (ISO 9001)</t>
  </si>
  <si>
    <t>GERENTE DE PRODUCCIÓN</t>
  </si>
  <si>
    <t>Gerente de Producción</t>
  </si>
  <si>
    <t>Amortización Bienes de Uso</t>
  </si>
  <si>
    <t>AUTOGENERACIÓN DE FONDOS</t>
  </si>
  <si>
    <t>Aumento (disminución) Cuentas a Cobrar</t>
  </si>
  <si>
    <t>Aumento (disminución) Bienes de Cambio</t>
  </si>
  <si>
    <t>Aumento (disminución) Proveedores</t>
  </si>
  <si>
    <t>Aumento (disminución) Deudas Sociales/ Fsicales</t>
  </si>
  <si>
    <t>TOTAL FUENTES OPERATIVAS</t>
  </si>
  <si>
    <t>Inversión Bienes de Uso</t>
  </si>
  <si>
    <t>Dividendos Y Honorarios</t>
  </si>
  <si>
    <t>Variación Cuenta Accionistas</t>
  </si>
  <si>
    <t>Amortización Deudas Bancarias</t>
  </si>
  <si>
    <t>Venta Bienes de Uso</t>
  </si>
  <si>
    <t>Aumento (Disminución) Divid. Hon. a Pagar</t>
  </si>
  <si>
    <t>Aumento (Disminución) Deudas Bancarias / Financ. CP</t>
  </si>
  <si>
    <t>Aumento (Disminución) Deudas Bancarias / Financ. LP</t>
  </si>
  <si>
    <t>VARIACIÓN DISP.E INVERSIONES CP</t>
  </si>
  <si>
    <t>Ganancia (Pérdida) del Ejercicio</t>
  </si>
  <si>
    <t xml:space="preserve">Capital Social </t>
  </si>
  <si>
    <t>Resultados No Asignados</t>
  </si>
  <si>
    <t>Valor Agregado($/Tn)</t>
  </si>
  <si>
    <t>6.9.2</t>
  </si>
  <si>
    <t>Compra Terreno</t>
  </si>
  <si>
    <t>6.9.3</t>
  </si>
  <si>
    <t>6.9.4</t>
  </si>
  <si>
    <t>6.9.5</t>
  </si>
  <si>
    <t>6.9.6</t>
  </si>
  <si>
    <t>6.11</t>
  </si>
  <si>
    <t>Gastos previos a la puesta en marcha</t>
  </si>
  <si>
    <t>6.12</t>
  </si>
  <si>
    <t>6.13</t>
  </si>
  <si>
    <t>6.13.2</t>
  </si>
  <si>
    <t>6.13.3</t>
  </si>
  <si>
    <t xml:space="preserve">Meses </t>
  </si>
  <si>
    <t>MO + CS</t>
  </si>
  <si>
    <t>6.13.3 Mano de obra</t>
  </si>
  <si>
    <t>6.13.4</t>
  </si>
  <si>
    <t>6.13.5</t>
  </si>
  <si>
    <t>6.13.6</t>
  </si>
  <si>
    <t xml:space="preserve">Imprevistos </t>
  </si>
  <si>
    <t>6.13.8</t>
  </si>
  <si>
    <t>6.13.7</t>
  </si>
  <si>
    <t>3.6.2</t>
  </si>
  <si>
    <t>6.8</t>
  </si>
  <si>
    <t>8.1.1.10</t>
  </si>
  <si>
    <t>8.1.1.11</t>
  </si>
  <si>
    <t>8.1.1.13</t>
  </si>
  <si>
    <t>8.1.1.14</t>
  </si>
  <si>
    <t>8.1.1.15</t>
  </si>
  <si>
    <t>8.1.1.12</t>
  </si>
  <si>
    <t>BALANCES PROYECTADOS</t>
  </si>
  <si>
    <t>INVERSIONES EN CAPITAL (CAPEX) (-)</t>
  </si>
  <si>
    <t>INVERSIONES EN CAPITAL DE TRABAJO (-)</t>
  </si>
  <si>
    <t>8.1.3 ESTADO DE USOS Y FUENTES OPERATIVAS</t>
  </si>
  <si>
    <t>8.1.3.1 GENERACIÓN NETA DE FUENTES OPERATIVAS</t>
  </si>
  <si>
    <t>8.1.3.2 TOTAL FUENTES NO OPERATIVAS</t>
  </si>
  <si>
    <t>8.1.3.3 TOTAL USOS OPERATIVOS</t>
  </si>
  <si>
    <t>8.1.3.3 TOTAL USOS NO OPERATIVOS</t>
  </si>
  <si>
    <t>5 años</t>
  </si>
  <si>
    <t>Costo unitario de fabricación</t>
  </si>
  <si>
    <t>8.1.3.4 FLUJO NETO DE CAJA  (FUENTES - USOS)</t>
  </si>
  <si>
    <t>diferir el pago de impuestos</t>
  </si>
  <si>
    <t>Caja al inicio</t>
  </si>
  <si>
    <t>Flujo neto de caja</t>
  </si>
  <si>
    <t>Caja al cierre</t>
  </si>
  <si>
    <t>Costos de Certificación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</si>
</sst>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 &quot;$&quot;\ * #,##0.00_ ;_ &quot;$&quot;\ * \-#,##0.00_ ;_ &quot;$&quot;\ * &quot;-&quot;??_ ;_ @_ "/>
    <numFmt numFmtId="43" formatCode="_ * #,##0.00_ ;_ * \-#,##0.00_ ;_ * &quot;-&quot;??_ ;_ @_ "/>
    <numFmt numFmtId="164" formatCode="_ &quot;$&quot;\ * #,##0_ ;_ &quot;$&quot;\ * \-#,##0_ ;_ &quot;$&quot;\ * &quot;-&quot;??_ ;_ @_ "/>
    <numFmt numFmtId="165" formatCode="_ * #,##0_ ;_ * \-#,##0_ ;_ * &quot;-&quot;??_ ;_ @_ "/>
    <numFmt numFmtId="166" formatCode="0.0"/>
    <numFmt numFmtId="167" formatCode="_ * #,##0.0_ ;_ * \-#,##0.0_ ;_ * &quot;-&quot;??_ ;_ @_ "/>
    <numFmt numFmtId="168" formatCode="0.0%"/>
  </numFmts>
  <fonts count="4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indexed="9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8"/>
      <name val="Tahoma"/>
      <family val="2"/>
    </font>
    <font>
      <vertAlign val="superscript"/>
      <sz val="12"/>
      <color indexed="8"/>
      <name val="Tahoma"/>
      <family val="2"/>
    </font>
    <font>
      <sz val="8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3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Palatino Linotype"/>
      <family val="1"/>
    </font>
    <font>
      <b/>
      <sz val="13"/>
      <name val="Palatino Linotype"/>
      <family val="1"/>
    </font>
    <font>
      <sz val="13"/>
      <name val="Palatino Linotype"/>
      <family val="1"/>
    </font>
    <font>
      <b/>
      <i/>
      <sz val="13"/>
      <name val="Palatino Linotype"/>
      <family val="1"/>
    </font>
    <font>
      <b/>
      <i/>
      <vertAlign val="subscript"/>
      <sz val="13"/>
      <name val="Palatino Linotype"/>
      <family val="1"/>
    </font>
    <font>
      <b/>
      <sz val="10"/>
      <name val="Arial"/>
      <family val="2"/>
    </font>
    <font>
      <sz val="10"/>
      <name val="Arial"/>
      <family val="2"/>
    </font>
    <font>
      <b/>
      <sz val="11"/>
      <name val="Palatino Linotype"/>
      <family val="1"/>
    </font>
    <font>
      <b/>
      <sz val="13"/>
      <color rgb="FFFF0000"/>
      <name val="Palatino Linotype"/>
      <family val="1"/>
    </font>
    <font>
      <b/>
      <sz val="11"/>
      <color theme="0"/>
      <name val="Arial"/>
      <family val="2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11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double">
        <color rgb="FF000000"/>
      </right>
      <top style="hair">
        <color rgb="FF000000"/>
      </top>
      <bottom style="double">
        <color rgb="FF000000"/>
      </bottom>
      <diagonal/>
    </border>
    <border>
      <left style="double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double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rgb="FF000000"/>
      </left>
      <right style="hair">
        <color rgb="FF000000"/>
      </right>
      <top style="double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double">
        <color rgb="FF000000"/>
      </bottom>
      <diagonal/>
    </border>
    <border>
      <left style="hair">
        <color rgb="FF000000"/>
      </left>
      <right/>
      <top style="double">
        <color rgb="FF000000"/>
      </top>
      <bottom style="double">
        <color rgb="FF000000"/>
      </bottom>
      <diagonal/>
    </border>
    <border>
      <left style="hair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double">
        <color auto="1"/>
      </left>
      <right style="hair">
        <color auto="1"/>
      </right>
      <top style="double">
        <color auto="1"/>
      </top>
      <bottom style="double">
        <color indexed="64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double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</cellStyleXfs>
  <cellXfs count="63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2" borderId="1" xfId="0" applyFont="1" applyFill="1" applyBorder="1"/>
    <xf numFmtId="164" fontId="2" fillId="2" borderId="1" xfId="2" applyNumberFormat="1" applyFont="1" applyFill="1" applyBorder="1" applyAlignment="1">
      <alignment horizontal="center"/>
    </xf>
    <xf numFmtId="0" fontId="2" fillId="2" borderId="1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2" applyNumberFormat="1" applyFont="1" applyBorder="1"/>
    <xf numFmtId="0" fontId="2" fillId="3" borderId="1" xfId="0" applyFont="1" applyFill="1" applyBorder="1"/>
    <xf numFmtId="0" fontId="0" fillId="0" borderId="1" xfId="0" applyBorder="1" applyAlignment="1">
      <alignment horizontal="right"/>
    </xf>
    <xf numFmtId="0" fontId="0" fillId="0" borderId="0" xfId="0" applyBorder="1"/>
    <xf numFmtId="0" fontId="0" fillId="4" borderId="0" xfId="0" applyFill="1"/>
    <xf numFmtId="0" fontId="0" fillId="4" borderId="1" xfId="0" applyFill="1" applyBorder="1"/>
    <xf numFmtId="164" fontId="0" fillId="4" borderId="1" xfId="2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4" fontId="0" fillId="4" borderId="1" xfId="2" applyNumberFormat="1" applyFont="1" applyFill="1" applyBorder="1"/>
    <xf numFmtId="9" fontId="0" fillId="4" borderId="1" xfId="3" applyFont="1" applyFill="1" applyBorder="1" applyAlignment="1">
      <alignment horizontal="center"/>
    </xf>
    <xf numFmtId="164" fontId="2" fillId="2" borderId="1" xfId="2" applyNumberFormat="1" applyFont="1" applyFill="1" applyBorder="1"/>
    <xf numFmtId="9" fontId="2" fillId="2" borderId="1" xfId="3" applyFont="1" applyFill="1" applyBorder="1" applyAlignment="1">
      <alignment horizontal="center"/>
    </xf>
    <xf numFmtId="1" fontId="0" fillId="0" borderId="1" xfId="0" applyNumberFormat="1" applyBorder="1"/>
    <xf numFmtId="1" fontId="0" fillId="0" borderId="1" xfId="0" applyNumberFormat="1" applyBorder="1" applyAlignment="1">
      <alignment horizontal="center"/>
    </xf>
    <xf numFmtId="0" fontId="0" fillId="5" borderId="1" xfId="0" applyFill="1" applyBorder="1"/>
    <xf numFmtId="164" fontId="0" fillId="5" borderId="1" xfId="2" applyNumberFormat="1" applyFont="1" applyFill="1" applyBorder="1"/>
    <xf numFmtId="9" fontId="0" fillId="5" borderId="1" xfId="3" applyFont="1" applyFill="1" applyBorder="1" applyAlignment="1">
      <alignment horizontal="center"/>
    </xf>
    <xf numFmtId="0" fontId="0" fillId="0" borderId="1" xfId="0" applyBorder="1" applyAlignment="1">
      <alignment vertical="center"/>
    </xf>
    <xf numFmtId="165" fontId="0" fillId="5" borderId="1" xfId="1" applyNumberFormat="1" applyFont="1" applyFill="1" applyBorder="1" applyAlignment="1">
      <alignment vertical="center"/>
    </xf>
    <xf numFmtId="165" fontId="0" fillId="0" borderId="1" xfId="1" applyNumberFormat="1" applyFont="1" applyFill="1" applyBorder="1" applyAlignment="1">
      <alignment vertical="center"/>
    </xf>
    <xf numFmtId="165" fontId="0" fillId="0" borderId="1" xfId="1" applyNumberFormat="1" applyFont="1" applyBorder="1" applyAlignment="1">
      <alignment vertical="center"/>
    </xf>
    <xf numFmtId="9" fontId="0" fillId="0" borderId="1" xfId="0" applyNumberFormat="1" applyBorder="1" applyAlignment="1">
      <alignment vertical="center"/>
    </xf>
    <xf numFmtId="0" fontId="2" fillId="6" borderId="1" xfId="0" applyFont="1" applyFill="1" applyBorder="1" applyAlignment="1">
      <alignment vertical="center"/>
    </xf>
    <xf numFmtId="165" fontId="2" fillId="6" borderId="1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6" fontId="0" fillId="0" borderId="0" xfId="0" applyNumberFormat="1"/>
    <xf numFmtId="0" fontId="2" fillId="0" borderId="1" xfId="0" applyFont="1" applyBorder="1"/>
    <xf numFmtId="0" fontId="2" fillId="6" borderId="1" xfId="0" applyFont="1" applyFill="1" applyBorder="1"/>
    <xf numFmtId="1" fontId="2" fillId="6" borderId="1" xfId="0" applyNumberFormat="1" applyFont="1" applyFill="1" applyBorder="1"/>
    <xf numFmtId="165" fontId="2" fillId="6" borderId="1" xfId="1" applyNumberFormat="1" applyFont="1" applyFill="1" applyBorder="1"/>
    <xf numFmtId="0" fontId="0" fillId="0" borderId="1" xfId="0" applyFont="1" applyFill="1" applyBorder="1"/>
    <xf numFmtId="0" fontId="2" fillId="3" borderId="1" xfId="0" applyFont="1" applyFill="1" applyBorder="1" applyAlignment="1">
      <alignment vertical="center"/>
    </xf>
    <xf numFmtId="165" fontId="2" fillId="3" borderId="1" xfId="1" applyNumberFormat="1" applyFont="1" applyFill="1" applyBorder="1" applyAlignment="1">
      <alignment vertical="center"/>
    </xf>
    <xf numFmtId="166" fontId="0" fillId="0" borderId="1" xfId="0" applyNumberFormat="1" applyBorder="1"/>
    <xf numFmtId="3" fontId="0" fillId="0" borderId="1" xfId="0" applyNumberFormat="1" applyBorder="1"/>
    <xf numFmtId="43" fontId="2" fillId="6" borderId="1" xfId="1" applyNumberFormat="1" applyFont="1" applyFill="1" applyBorder="1" applyAlignment="1">
      <alignment vertical="center"/>
    </xf>
    <xf numFmtId="0" fontId="0" fillId="0" borderId="2" xfId="0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/>
    </xf>
    <xf numFmtId="0" fontId="3" fillId="2" borderId="3" xfId="0" applyFont="1" applyFill="1" applyBorder="1" applyAlignment="1"/>
    <xf numFmtId="0" fontId="3" fillId="2" borderId="1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165" fontId="2" fillId="3" borderId="1" xfId="1" applyNumberFormat="1" applyFont="1" applyFill="1" applyBorder="1"/>
    <xf numFmtId="167" fontId="2" fillId="3" borderId="1" xfId="1" applyNumberFormat="1" applyFont="1" applyFill="1" applyBorder="1"/>
    <xf numFmtId="164" fontId="0" fillId="0" borderId="2" xfId="2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left" indent="4"/>
    </xf>
    <xf numFmtId="165" fontId="0" fillId="0" borderId="0" xfId="1" applyNumberFormat="1" applyFont="1"/>
    <xf numFmtId="1" fontId="0" fillId="0" borderId="1" xfId="0" applyNumberFormat="1" applyFill="1" applyBorder="1"/>
    <xf numFmtId="0" fontId="4" fillId="2" borderId="1" xfId="0" applyFont="1" applyFill="1" applyBorder="1" applyAlignment="1">
      <alignment horizontal="center"/>
    </xf>
    <xf numFmtId="0" fontId="0" fillId="0" borderId="1" xfId="0" applyBorder="1" applyAlignment="1"/>
    <xf numFmtId="0" fontId="0" fillId="0" borderId="1" xfId="0" applyFont="1" applyBorder="1"/>
    <xf numFmtId="164" fontId="2" fillId="6" borderId="1" xfId="0" applyNumberFormat="1" applyFont="1" applyFill="1" applyBorder="1"/>
    <xf numFmtId="0" fontId="7" fillId="0" borderId="0" xfId="0" applyFont="1"/>
    <xf numFmtId="0" fontId="0" fillId="0" borderId="0" xfId="0" applyBorder="1" applyAlignment="1">
      <alignment horizontal="right"/>
    </xf>
    <xf numFmtId="3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65" fontId="2" fillId="0" borderId="1" xfId="1" applyNumberFormat="1" applyFont="1" applyBorder="1" applyAlignment="1">
      <alignment vertical="center" wrapText="1"/>
    </xf>
    <xf numFmtId="17" fontId="0" fillId="0" borderId="0" xfId="0" applyNumberFormat="1"/>
    <xf numFmtId="0" fontId="2" fillId="7" borderId="4" xfId="0" applyFont="1" applyFill="1" applyBorder="1" applyAlignment="1">
      <alignment horizontal="left" vertical="top" wrapText="1"/>
    </xf>
    <xf numFmtId="0" fontId="2" fillId="7" borderId="2" xfId="0" applyFont="1" applyFill="1" applyBorder="1" applyAlignment="1">
      <alignment horizontal="left" vertical="top" wrapText="1"/>
    </xf>
    <xf numFmtId="0" fontId="2" fillId="7" borderId="2" xfId="0" applyFont="1" applyFill="1" applyBorder="1" applyAlignment="1">
      <alignment horizontal="center" vertical="top" wrapText="1"/>
    </xf>
    <xf numFmtId="164" fontId="2" fillId="7" borderId="2" xfId="0" applyNumberFormat="1" applyFont="1" applyFill="1" applyBorder="1" applyAlignment="1">
      <alignment horizontal="center" vertical="top" wrapText="1"/>
    </xf>
    <xf numFmtId="0" fontId="0" fillId="0" borderId="0" xfId="0" applyFill="1"/>
    <xf numFmtId="0" fontId="0" fillId="9" borderId="1" xfId="0" applyFill="1" applyBorder="1"/>
    <xf numFmtId="9" fontId="0" fillId="0" borderId="0" xfId="0" applyNumberFormat="1" applyAlignment="1">
      <alignment horizontal="center"/>
    </xf>
    <xf numFmtId="9" fontId="0" fillId="9" borderId="1" xfId="3" applyNumberFormat="1" applyFont="1" applyFill="1" applyBorder="1"/>
    <xf numFmtId="3" fontId="0" fillId="9" borderId="1" xfId="0" applyNumberFormat="1" applyFill="1" applyBorder="1"/>
    <xf numFmtId="0" fontId="12" fillId="0" borderId="0" xfId="0" applyFont="1"/>
    <xf numFmtId="166" fontId="0" fillId="0" borderId="1" xfId="0" applyNumberFormat="1" applyFill="1" applyBorder="1"/>
    <xf numFmtId="0" fontId="13" fillId="0" borderId="0" xfId="0" applyFont="1" applyAlignment="1">
      <alignment horizontal="justify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wrapText="1"/>
    </xf>
    <xf numFmtId="0" fontId="0" fillId="0" borderId="0" xfId="0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10" borderId="1" xfId="0" applyFill="1" applyBorder="1"/>
    <xf numFmtId="0" fontId="0" fillId="10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5" fillId="10" borderId="0" xfId="0" applyFont="1" applyFill="1" applyBorder="1" applyAlignment="1">
      <alignment horizontal="center" vertical="center" textRotation="180"/>
    </xf>
    <xf numFmtId="0" fontId="12" fillId="10" borderId="0" xfId="0" applyFont="1" applyFill="1" applyBorder="1" applyAlignment="1">
      <alignment horizontal="center" vertical="center"/>
    </xf>
    <xf numFmtId="0" fontId="12" fillId="10" borderId="0" xfId="0" applyFont="1" applyFill="1" applyBorder="1" applyAlignment="1">
      <alignment wrapText="1"/>
    </xf>
    <xf numFmtId="0" fontId="12" fillId="10" borderId="1" xfId="0" applyFont="1" applyFill="1" applyBorder="1" applyAlignment="1">
      <alignment horizontal="center" vertical="center"/>
    </xf>
    <xf numFmtId="44" fontId="0" fillId="0" borderId="2" xfId="2" applyNumberFormat="1" applyFont="1" applyBorder="1" applyAlignment="1">
      <alignment horizontal="center" vertical="top" wrapText="1"/>
    </xf>
    <xf numFmtId="0" fontId="0" fillId="11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14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9" borderId="5" xfId="0" applyFill="1" applyBorder="1"/>
    <xf numFmtId="0" fontId="0" fillId="0" borderId="1" xfId="0" applyFill="1" applyBorder="1" applyAlignment="1">
      <alignment vertical="center"/>
    </xf>
    <xf numFmtId="0" fontId="0" fillId="0" borderId="0" xfId="0" applyAlignment="1">
      <alignment horizontal="left" indent="2"/>
    </xf>
    <xf numFmtId="0" fontId="12" fillId="0" borderId="0" xfId="0" applyFont="1" applyAlignment="1">
      <alignment horizontal="center"/>
    </xf>
    <xf numFmtId="9" fontId="0" fillId="0" borderId="0" xfId="3" applyFont="1" applyAlignment="1">
      <alignment horizontal="center"/>
    </xf>
    <xf numFmtId="0" fontId="0" fillId="0" borderId="0" xfId="0" applyAlignment="1">
      <alignment horizontal="left" indent="4"/>
    </xf>
    <xf numFmtId="0" fontId="12" fillId="10" borderId="0" xfId="0" applyFont="1" applyFill="1" applyAlignment="1">
      <alignment horizontal="center"/>
    </xf>
    <xf numFmtId="0" fontId="12" fillId="0" borderId="0" xfId="0" applyFont="1" applyAlignment="1">
      <alignment horizontal="left" indent="2"/>
    </xf>
    <xf numFmtId="0" fontId="20" fillId="0" borderId="0" xfId="0" applyFont="1"/>
    <xf numFmtId="0" fontId="0" fillId="0" borderId="1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5" xfId="0" applyBorder="1" applyAlignment="1">
      <alignment horizontal="center" vertical="top" wrapText="1"/>
    </xf>
    <xf numFmtId="164" fontId="0" fillId="0" borderId="5" xfId="2" applyNumberFormat="1" applyFont="1" applyBorder="1" applyAlignment="1">
      <alignment horizontal="center" vertical="top" wrapText="1"/>
    </xf>
    <xf numFmtId="0" fontId="12" fillId="0" borderId="0" xfId="0" applyFont="1" applyFill="1" applyBorder="1" applyAlignment="1">
      <alignment horizontal="left" indent="2"/>
    </xf>
    <xf numFmtId="0" fontId="0" fillId="0" borderId="0" xfId="0" applyBorder="1" applyAlignment="1">
      <alignment horizontal="left" indent="3"/>
    </xf>
    <xf numFmtId="0" fontId="0" fillId="0" borderId="0" xfId="0" applyFill="1" applyBorder="1" applyAlignment="1">
      <alignment horizontal="left" indent="3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 wrapText="1" indent="4"/>
    </xf>
    <xf numFmtId="0" fontId="23" fillId="10" borderId="0" xfId="0" applyFont="1" applyFill="1"/>
    <xf numFmtId="0" fontId="20" fillId="10" borderId="0" xfId="0" applyFont="1" applyFill="1"/>
    <xf numFmtId="0" fontId="20" fillId="0" borderId="0" xfId="0" applyFont="1" applyFill="1"/>
    <xf numFmtId="0" fontId="3" fillId="8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left" vertical="top" wrapText="1"/>
    </xf>
    <xf numFmtId="0" fontId="2" fillId="8" borderId="5" xfId="0" applyFont="1" applyFill="1" applyBorder="1" applyAlignment="1">
      <alignment horizontal="left" vertical="top" wrapText="1"/>
    </xf>
    <xf numFmtId="0" fontId="2" fillId="8" borderId="5" xfId="0" applyFont="1" applyFill="1" applyBorder="1" applyAlignment="1">
      <alignment horizontal="center" vertical="top" wrapText="1"/>
    </xf>
    <xf numFmtId="164" fontId="2" fillId="8" borderId="5" xfId="0" applyNumberFormat="1" applyFont="1" applyFill="1" applyBorder="1" applyAlignment="1">
      <alignment horizontal="center" vertical="top" wrapText="1"/>
    </xf>
    <xf numFmtId="0" fontId="0" fillId="0" borderId="0" xfId="0" applyFill="1" applyAlignment="1">
      <alignment horizontal="left" indent="4"/>
    </xf>
    <xf numFmtId="0" fontId="12" fillId="0" borderId="0" xfId="0" applyFont="1" applyFill="1" applyBorder="1" applyAlignment="1">
      <alignment horizontal="left" indent="3"/>
    </xf>
    <xf numFmtId="0" fontId="24" fillId="0" borderId="0" xfId="0" applyFont="1"/>
    <xf numFmtId="0" fontId="23" fillId="17" borderId="0" xfId="0" applyFont="1" applyFill="1"/>
    <xf numFmtId="0" fontId="20" fillId="17" borderId="0" xfId="0" applyFont="1" applyFill="1"/>
    <xf numFmtId="0" fontId="12" fillId="17" borderId="0" xfId="0" applyFont="1" applyFill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left" indent="2"/>
    </xf>
    <xf numFmtId="167" fontId="0" fillId="0" borderId="15" xfId="1" applyNumberFormat="1" applyFont="1" applyBorder="1"/>
    <xf numFmtId="0" fontId="0" fillId="0" borderId="15" xfId="0" applyBorder="1"/>
    <xf numFmtId="165" fontId="0" fillId="0" borderId="16" xfId="1" applyNumberFormat="1" applyFont="1" applyBorder="1"/>
    <xf numFmtId="0" fontId="17" fillId="19" borderId="12" xfId="0" applyFont="1" applyFill="1" applyBorder="1"/>
    <xf numFmtId="0" fontId="17" fillId="19" borderId="14" xfId="0" applyFont="1" applyFill="1" applyBorder="1"/>
    <xf numFmtId="0" fontId="17" fillId="19" borderId="15" xfId="0" applyFont="1" applyFill="1" applyBorder="1" applyAlignment="1">
      <alignment horizontal="center"/>
    </xf>
    <xf numFmtId="166" fontId="0" fillId="0" borderId="15" xfId="0" applyNumberFormat="1" applyBorder="1"/>
    <xf numFmtId="0" fontId="2" fillId="0" borderId="3" xfId="0" applyFont="1" applyBorder="1" applyAlignment="1">
      <alignment horizontal="center" wrapText="1"/>
    </xf>
    <xf numFmtId="0" fontId="28" fillId="0" borderId="19" xfId="4" applyFont="1" applyBorder="1" applyAlignment="1">
      <alignment horizontal="left" vertical="center"/>
    </xf>
    <xf numFmtId="0" fontId="29" fillId="0" borderId="18" xfId="4" quotePrefix="1" applyFont="1" applyBorder="1" applyAlignment="1">
      <alignment horizontal="right" vertical="center"/>
    </xf>
    <xf numFmtId="0" fontId="20" fillId="9" borderId="0" xfId="0" applyFont="1" applyFill="1"/>
    <xf numFmtId="0" fontId="12" fillId="9" borderId="0" xfId="0" applyFont="1" applyFill="1"/>
    <xf numFmtId="0" fontId="12" fillId="9" borderId="0" xfId="0" applyFont="1" applyFill="1" applyAlignment="1">
      <alignment horizontal="center"/>
    </xf>
    <xf numFmtId="0" fontId="32" fillId="0" borderId="20" xfId="0" applyFont="1" applyBorder="1" applyAlignment="1">
      <alignment vertical="center" wrapText="1"/>
    </xf>
    <xf numFmtId="164" fontId="32" fillId="0" borderId="27" xfId="2" applyNumberFormat="1" applyFont="1" applyBorder="1" applyAlignment="1">
      <alignment vertical="center" wrapText="1"/>
    </xf>
    <xf numFmtId="164" fontId="32" fillId="0" borderId="29" xfId="2" applyNumberFormat="1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9" fontId="32" fillId="0" borderId="25" xfId="0" applyNumberFormat="1" applyFont="1" applyBorder="1" applyAlignment="1">
      <alignment horizontal="center" vertical="center" wrapText="1"/>
    </xf>
    <xf numFmtId="9" fontId="32" fillId="14" borderId="21" xfId="0" applyNumberFormat="1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vertical="center" wrapText="1"/>
    </xf>
    <xf numFmtId="0" fontId="32" fillId="0" borderId="28" xfId="0" applyFont="1" applyBorder="1" applyAlignment="1">
      <alignment vertical="center" wrapText="1"/>
    </xf>
    <xf numFmtId="0" fontId="32" fillId="0" borderId="30" xfId="0" applyFont="1" applyBorder="1" applyAlignment="1">
      <alignment horizontal="center" vertical="center" wrapText="1"/>
    </xf>
    <xf numFmtId="9" fontId="32" fillId="0" borderId="23" xfId="0" applyNumberFormat="1" applyFont="1" applyBorder="1" applyAlignment="1">
      <alignment horizontal="center" vertical="center" wrapText="1"/>
    </xf>
    <xf numFmtId="0" fontId="21" fillId="0" borderId="31" xfId="0" applyFont="1" applyBorder="1"/>
    <xf numFmtId="0" fontId="21" fillId="0" borderId="32" xfId="0" applyFont="1" applyBorder="1"/>
    <xf numFmtId="9" fontId="27" fillId="0" borderId="0" xfId="4" applyNumberFormat="1" applyFont="1" applyBorder="1" applyAlignment="1">
      <alignment horizontal="center" vertical="center"/>
    </xf>
    <xf numFmtId="0" fontId="29" fillId="0" borderId="0" xfId="4" quotePrefix="1" applyFont="1" applyBorder="1" applyAlignment="1">
      <alignment vertical="center"/>
    </xf>
    <xf numFmtId="0" fontId="33" fillId="0" borderId="18" xfId="4" quotePrefix="1" applyFont="1" applyBorder="1" applyAlignment="1">
      <alignment horizontal="left" vertical="center"/>
    </xf>
    <xf numFmtId="0" fontId="29" fillId="0" borderId="38" xfId="4" applyFont="1" applyFill="1" applyBorder="1" applyAlignment="1">
      <alignment horizontal="right" vertical="center"/>
    </xf>
    <xf numFmtId="0" fontId="31" fillId="0" borderId="36" xfId="0" applyFont="1" applyBorder="1" applyAlignment="1">
      <alignment horizontal="center" vertical="center" wrapText="1"/>
    </xf>
    <xf numFmtId="0" fontId="31" fillId="0" borderId="37" xfId="0" applyFont="1" applyBorder="1" applyAlignment="1">
      <alignment horizontal="center" vertical="center" wrapText="1"/>
    </xf>
    <xf numFmtId="168" fontId="27" fillId="0" borderId="19" xfId="3" applyNumberFormat="1" applyFont="1" applyBorder="1" applyAlignment="1">
      <alignment horizontal="center" vertical="center"/>
    </xf>
    <xf numFmtId="9" fontId="23" fillId="14" borderId="40" xfId="3" applyFont="1" applyFill="1" applyBorder="1" applyAlignment="1">
      <alignment horizontal="center" vertical="center"/>
    </xf>
    <xf numFmtId="0" fontId="12" fillId="9" borderId="3" xfId="0" applyFont="1" applyFill="1" applyBorder="1"/>
    <xf numFmtId="0" fontId="32" fillId="0" borderId="24" xfId="0" applyFont="1" applyBorder="1" applyAlignment="1">
      <alignment vertical="center" wrapText="1"/>
    </xf>
    <xf numFmtId="164" fontId="32" fillId="0" borderId="33" xfId="2" applyNumberFormat="1" applyFont="1" applyBorder="1" applyAlignment="1">
      <alignment vertical="center" wrapText="1"/>
    </xf>
    <xf numFmtId="164" fontId="32" fillId="0" borderId="34" xfId="2" applyNumberFormat="1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31" fillId="0" borderId="42" xfId="0" applyFont="1" applyBorder="1" applyAlignment="1">
      <alignment horizontal="center" vertical="center" wrapText="1"/>
    </xf>
    <xf numFmtId="0" fontId="31" fillId="0" borderId="43" xfId="0" applyFont="1" applyBorder="1" applyAlignment="1">
      <alignment horizontal="center" vertical="center" wrapText="1"/>
    </xf>
    <xf numFmtId="0" fontId="31" fillId="0" borderId="44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9" fontId="0" fillId="0" borderId="0" xfId="0" applyNumberFormat="1"/>
    <xf numFmtId="9" fontId="0" fillId="0" borderId="0" xfId="3" applyFont="1"/>
    <xf numFmtId="0" fontId="0" fillId="0" borderId="0" xfId="0" applyAlignment="1">
      <alignment horizontal="right" vertical="top"/>
    </xf>
    <xf numFmtId="9" fontId="0" fillId="0" borderId="0" xfId="3" applyFont="1" applyAlignment="1">
      <alignment horizontal="right" vertical="top"/>
    </xf>
    <xf numFmtId="2" fontId="19" fillId="0" borderId="0" xfId="0" applyNumberFormat="1" applyFont="1" applyBorder="1" applyAlignment="1">
      <alignment horizontal="right" vertical="top"/>
    </xf>
    <xf numFmtId="165" fontId="12" fillId="0" borderId="0" xfId="0" applyNumberFormat="1" applyFont="1" applyAlignment="1">
      <alignment horizontal="right" vertical="top"/>
    </xf>
    <xf numFmtId="0" fontId="0" fillId="0" borderId="0" xfId="0" applyFill="1" applyAlignment="1">
      <alignment horizontal="right" vertical="top"/>
    </xf>
    <xf numFmtId="165" fontId="12" fillId="0" borderId="0" xfId="1" applyNumberFormat="1" applyFont="1" applyAlignment="1">
      <alignment horizontal="right" vertical="top"/>
    </xf>
    <xf numFmtId="165" fontId="12" fillId="0" borderId="0" xfId="1" applyNumberFormat="1" applyFont="1" applyFill="1" applyAlignment="1">
      <alignment horizontal="right" vertical="top"/>
    </xf>
    <xf numFmtId="1" fontId="0" fillId="0" borderId="0" xfId="0" applyNumberFormat="1" applyAlignment="1">
      <alignment horizontal="right" vertical="top"/>
    </xf>
    <xf numFmtId="165" fontId="0" fillId="0" borderId="0" xfId="1" applyNumberFormat="1" applyFont="1" applyAlignment="1">
      <alignment horizontal="right" vertical="top"/>
    </xf>
    <xf numFmtId="165" fontId="12" fillId="0" borderId="0" xfId="0" applyNumberFormat="1" applyFont="1" applyFill="1" applyAlignment="1">
      <alignment horizontal="right" vertical="top"/>
    </xf>
    <xf numFmtId="165" fontId="12" fillId="10" borderId="0" xfId="1" applyNumberFormat="1" applyFont="1" applyFill="1" applyAlignment="1">
      <alignment horizontal="right" vertical="top"/>
    </xf>
    <xf numFmtId="165" fontId="0" fillId="0" borderId="0" xfId="0" applyNumberFormat="1" applyFill="1" applyAlignment="1">
      <alignment horizontal="right" vertical="top"/>
    </xf>
    <xf numFmtId="165" fontId="0" fillId="0" borderId="0" xfId="1" applyNumberFormat="1" applyFont="1" applyFill="1" applyAlignment="1">
      <alignment horizontal="right" vertical="top"/>
    </xf>
    <xf numFmtId="0" fontId="0" fillId="0" borderId="0" xfId="0" applyFill="1" applyBorder="1" applyAlignment="1">
      <alignment horizontal="right" vertical="top"/>
    </xf>
    <xf numFmtId="164" fontId="12" fillId="0" borderId="0" xfId="2" applyNumberFormat="1" applyFont="1" applyFill="1" applyBorder="1" applyAlignment="1">
      <alignment horizontal="right" vertical="top"/>
    </xf>
    <xf numFmtId="9" fontId="12" fillId="0" borderId="0" xfId="3" applyFont="1" applyAlignment="1">
      <alignment horizontal="right" vertical="top"/>
    </xf>
    <xf numFmtId="165" fontId="12" fillId="17" borderId="0" xfId="0" applyNumberFormat="1" applyFont="1" applyFill="1" applyAlignment="1">
      <alignment horizontal="right" vertical="top"/>
    </xf>
    <xf numFmtId="9" fontId="12" fillId="10" borderId="0" xfId="3" applyFont="1" applyFill="1" applyAlignment="1">
      <alignment horizontal="right" vertical="top"/>
    </xf>
    <xf numFmtId="166" fontId="12" fillId="10" borderId="0" xfId="3" applyNumberFormat="1" applyFont="1" applyFill="1" applyAlignment="1">
      <alignment horizontal="right" vertical="top"/>
    </xf>
    <xf numFmtId="9" fontId="12" fillId="10" borderId="0" xfId="3" applyNumberFormat="1" applyFont="1" applyFill="1" applyAlignment="1">
      <alignment horizontal="right" vertical="top"/>
    </xf>
    <xf numFmtId="0" fontId="0" fillId="0" borderId="45" xfId="0" applyBorder="1"/>
    <xf numFmtId="0" fontId="0" fillId="0" borderId="46" xfId="0" applyBorder="1"/>
    <xf numFmtId="0" fontId="0" fillId="0" borderId="46" xfId="0" applyBorder="1" applyAlignment="1">
      <alignment horizontal="center"/>
    </xf>
    <xf numFmtId="0" fontId="0" fillId="0" borderId="17" xfId="0" applyBorder="1" applyAlignment="1">
      <alignment horizontal="center"/>
    </xf>
    <xf numFmtId="0" fontId="12" fillId="10" borderId="47" xfId="0" applyFont="1" applyFill="1" applyBorder="1" applyAlignment="1">
      <alignment horizontal="left"/>
    </xf>
    <xf numFmtId="0" fontId="12" fillId="10" borderId="48" xfId="0" applyFont="1" applyFill="1" applyBorder="1" applyAlignment="1">
      <alignment horizontal="left"/>
    </xf>
    <xf numFmtId="0" fontId="12" fillId="10" borderId="48" xfId="0" applyFont="1" applyFill="1" applyBorder="1" applyAlignment="1">
      <alignment horizontal="center"/>
    </xf>
    <xf numFmtId="0" fontId="12" fillId="10" borderId="49" xfId="0" applyFont="1" applyFill="1" applyBorder="1" applyAlignment="1">
      <alignment horizontal="center"/>
    </xf>
    <xf numFmtId="0" fontId="12" fillId="0" borderId="47" xfId="0" applyFont="1" applyFill="1" applyBorder="1" applyAlignment="1">
      <alignment horizontal="left"/>
    </xf>
    <xf numFmtId="0" fontId="12" fillId="0" borderId="48" xfId="0" applyFont="1" applyFill="1" applyBorder="1" applyAlignment="1">
      <alignment horizontal="left"/>
    </xf>
    <xf numFmtId="0" fontId="12" fillId="0" borderId="48" xfId="0" applyFont="1" applyFill="1" applyBorder="1" applyAlignment="1">
      <alignment horizontal="center"/>
    </xf>
    <xf numFmtId="0" fontId="12" fillId="0" borderId="49" xfId="0" applyFont="1" applyFill="1" applyBorder="1" applyAlignment="1">
      <alignment horizontal="center"/>
    </xf>
    <xf numFmtId="0" fontId="12" fillId="10" borderId="47" xfId="0" applyFont="1" applyFill="1" applyBorder="1" applyAlignment="1"/>
    <xf numFmtId="0" fontId="20" fillId="10" borderId="48" xfId="0" applyFont="1" applyFill="1" applyBorder="1" applyAlignment="1"/>
    <xf numFmtId="0" fontId="0" fillId="10" borderId="48" xfId="0" applyFill="1" applyBorder="1" applyAlignment="1"/>
    <xf numFmtId="0" fontId="0" fillId="10" borderId="48" xfId="0" applyFill="1" applyBorder="1" applyAlignment="1">
      <alignment horizontal="center"/>
    </xf>
    <xf numFmtId="0" fontId="0" fillId="10" borderId="49" xfId="0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7" xfId="0" applyBorder="1"/>
    <xf numFmtId="0" fontId="22" fillId="0" borderId="48" xfId="0" applyFont="1" applyBorder="1" applyAlignment="1">
      <alignment horizontal="center" vertical="center"/>
    </xf>
    <xf numFmtId="1" fontId="22" fillId="0" borderId="48" xfId="0" applyNumberFormat="1" applyFont="1" applyBorder="1" applyAlignment="1">
      <alignment horizontal="center" vertical="center"/>
    </xf>
    <xf numFmtId="0" fontId="0" fillId="0" borderId="48" xfId="0" applyBorder="1" applyAlignment="1">
      <alignment horizontal="left"/>
    </xf>
    <xf numFmtId="0" fontId="0" fillId="0" borderId="49" xfId="0" applyBorder="1"/>
    <xf numFmtId="0" fontId="0" fillId="0" borderId="48" xfId="0" applyBorder="1"/>
    <xf numFmtId="0" fontId="0" fillId="0" borderId="49" xfId="0" applyBorder="1" applyAlignment="1">
      <alignment horizontal="center"/>
    </xf>
    <xf numFmtId="0" fontId="23" fillId="10" borderId="47" xfId="0" applyFont="1" applyFill="1" applyBorder="1" applyAlignment="1"/>
    <xf numFmtId="0" fontId="12" fillId="10" borderId="48" xfId="0" applyFont="1" applyFill="1" applyBorder="1" applyAlignment="1"/>
    <xf numFmtId="165" fontId="0" fillId="0" borderId="48" xfId="1" applyNumberFormat="1" applyFont="1" applyBorder="1" applyAlignment="1">
      <alignment horizontal="center"/>
    </xf>
    <xf numFmtId="165" fontId="0" fillId="0" borderId="48" xfId="1" applyNumberFormat="1" applyFont="1" applyBorder="1" applyAlignment="1">
      <alignment horizontal="right" vertical="center"/>
    </xf>
    <xf numFmtId="165" fontId="0" fillId="0" borderId="49" xfId="1" applyNumberFormat="1" applyFont="1" applyBorder="1" applyAlignment="1">
      <alignment horizontal="right" vertical="center"/>
    </xf>
    <xf numFmtId="0" fontId="0" fillId="0" borderId="48" xfId="3" applyNumberFormat="1" applyFont="1" applyBorder="1" applyAlignment="1">
      <alignment horizontal="center"/>
    </xf>
    <xf numFmtId="9" fontId="0" fillId="0" borderId="48" xfId="3" applyFont="1" applyBorder="1" applyAlignment="1">
      <alignment horizontal="right" vertical="center"/>
    </xf>
    <xf numFmtId="9" fontId="0" fillId="0" borderId="49" xfId="3" applyFont="1" applyBorder="1" applyAlignment="1">
      <alignment horizontal="right" vertical="center"/>
    </xf>
    <xf numFmtId="9" fontId="0" fillId="0" borderId="48" xfId="3" applyFont="1" applyBorder="1" applyAlignment="1">
      <alignment horizontal="center"/>
    </xf>
    <xf numFmtId="0" fontId="12" fillId="0" borderId="48" xfId="0" applyFont="1" applyBorder="1"/>
    <xf numFmtId="0" fontId="12" fillId="0" borderId="48" xfId="3" applyNumberFormat="1" applyFont="1" applyBorder="1" applyAlignment="1">
      <alignment horizontal="center"/>
    </xf>
    <xf numFmtId="165" fontId="12" fillId="0" borderId="48" xfId="1" applyNumberFormat="1" applyFont="1" applyBorder="1" applyAlignment="1">
      <alignment horizontal="right" vertical="center"/>
    </xf>
    <xf numFmtId="165" fontId="12" fillId="0" borderId="49" xfId="1" applyNumberFormat="1" applyFont="1" applyBorder="1" applyAlignment="1">
      <alignment horizontal="right" vertical="center"/>
    </xf>
    <xf numFmtId="165" fontId="12" fillId="0" borderId="48" xfId="1" applyNumberFormat="1" applyFont="1" applyBorder="1" applyAlignment="1">
      <alignment horizontal="center"/>
    </xf>
    <xf numFmtId="0" fontId="12" fillId="0" borderId="48" xfId="0" applyFont="1" applyBorder="1" applyAlignment="1">
      <alignment horizontal="center"/>
    </xf>
    <xf numFmtId="0" fontId="12" fillId="10" borderId="47" xfId="0" applyFont="1" applyFill="1" applyBorder="1"/>
    <xf numFmtId="165" fontId="12" fillId="10" borderId="48" xfId="1" applyNumberFormat="1" applyFont="1" applyFill="1" applyBorder="1" applyAlignment="1">
      <alignment horizontal="center"/>
    </xf>
    <xf numFmtId="0" fontId="12" fillId="10" borderId="48" xfId="0" applyFont="1" applyFill="1" applyBorder="1"/>
    <xf numFmtId="0" fontId="0" fillId="0" borderId="46" xfId="0" applyBorder="1" applyAlignment="1">
      <alignment horizontal="left" indent="4"/>
    </xf>
    <xf numFmtId="9" fontId="18" fillId="0" borderId="46" xfId="3" applyFont="1" applyBorder="1" applyAlignment="1">
      <alignment horizontal="center"/>
    </xf>
    <xf numFmtId="165" fontId="18" fillId="0" borderId="46" xfId="1" applyNumberFormat="1" applyFont="1" applyBorder="1" applyAlignment="1">
      <alignment horizontal="right" vertical="center"/>
    </xf>
    <xf numFmtId="165" fontId="18" fillId="0" borderId="17" xfId="1" applyNumberFormat="1" applyFont="1" applyBorder="1" applyAlignment="1">
      <alignment horizontal="right" vertical="center"/>
    </xf>
    <xf numFmtId="0" fontId="0" fillId="0" borderId="48" xfId="0" applyBorder="1" applyAlignment="1">
      <alignment horizontal="left" indent="4"/>
    </xf>
    <xf numFmtId="165" fontId="18" fillId="0" borderId="48" xfId="1" applyNumberFormat="1" applyFont="1" applyBorder="1" applyAlignment="1">
      <alignment horizontal="right" vertical="center"/>
    </xf>
    <xf numFmtId="0" fontId="0" fillId="0" borderId="52" xfId="0" applyBorder="1" applyAlignment="1">
      <alignment horizontal="left" indent="4"/>
    </xf>
    <xf numFmtId="9" fontId="18" fillId="0" borderId="52" xfId="3" applyFont="1" applyBorder="1" applyAlignment="1">
      <alignment horizontal="center"/>
    </xf>
    <xf numFmtId="165" fontId="18" fillId="0" borderId="52" xfId="1" applyNumberFormat="1" applyFont="1" applyBorder="1" applyAlignment="1">
      <alignment horizontal="right" vertical="center"/>
    </xf>
    <xf numFmtId="165" fontId="18" fillId="0" borderId="53" xfId="1" applyNumberFormat="1" applyFont="1" applyBorder="1" applyAlignment="1">
      <alignment horizontal="right" vertical="center"/>
    </xf>
    <xf numFmtId="9" fontId="0" fillId="0" borderId="46" xfId="3" applyFont="1" applyBorder="1" applyAlignment="1">
      <alignment horizontal="center"/>
    </xf>
    <xf numFmtId="9" fontId="0" fillId="0" borderId="52" xfId="3" applyFont="1" applyBorder="1" applyAlignment="1">
      <alignment horizontal="center"/>
    </xf>
    <xf numFmtId="0" fontId="12" fillId="10" borderId="48" xfId="0" applyFont="1" applyFill="1" applyBorder="1" applyAlignment="1">
      <alignment horizontal="right"/>
    </xf>
    <xf numFmtId="0" fontId="12" fillId="10" borderId="49" xfId="0" applyFont="1" applyFill="1" applyBorder="1" applyAlignment="1">
      <alignment horizontal="right"/>
    </xf>
    <xf numFmtId="0" fontId="0" fillId="0" borderId="48" xfId="0" applyBorder="1" applyAlignment="1">
      <alignment horizontal="right"/>
    </xf>
    <xf numFmtId="9" fontId="0" fillId="0" borderId="48" xfId="3" applyFont="1" applyBorder="1" applyAlignment="1">
      <alignment horizontal="right"/>
    </xf>
    <xf numFmtId="0" fontId="0" fillId="0" borderId="49" xfId="0" applyBorder="1" applyAlignment="1">
      <alignment horizontal="right"/>
    </xf>
    <xf numFmtId="165" fontId="0" fillId="0" borderId="48" xfId="0" applyNumberFormat="1" applyBorder="1" applyAlignment="1">
      <alignment horizontal="right"/>
    </xf>
    <xf numFmtId="165" fontId="0" fillId="0" borderId="49" xfId="0" applyNumberFormat="1" applyBorder="1" applyAlignment="1">
      <alignment horizontal="right"/>
    </xf>
    <xf numFmtId="0" fontId="12" fillId="10" borderId="48" xfId="0" applyFont="1" applyFill="1" applyBorder="1" applyAlignment="1">
      <alignment horizontal="right" vertical="top"/>
    </xf>
    <xf numFmtId="0" fontId="12" fillId="0" borderId="48" xfId="0" applyFont="1" applyFill="1" applyBorder="1" applyAlignment="1">
      <alignment horizontal="right" vertical="top"/>
    </xf>
    <xf numFmtId="0" fontId="12" fillId="0" borderId="49" xfId="0" applyFont="1" applyFill="1" applyBorder="1" applyAlignment="1">
      <alignment horizontal="right" vertical="top"/>
    </xf>
    <xf numFmtId="0" fontId="23" fillId="10" borderId="47" xfId="0" applyFont="1" applyFill="1" applyBorder="1"/>
    <xf numFmtId="0" fontId="20" fillId="10" borderId="48" xfId="0" applyFont="1" applyFill="1" applyBorder="1"/>
    <xf numFmtId="0" fontId="0" fillId="10" borderId="48" xfId="0" applyFill="1" applyBorder="1" applyAlignment="1">
      <alignment horizontal="right" vertical="top"/>
    </xf>
    <xf numFmtId="165" fontId="12" fillId="10" borderId="48" xfId="0" applyNumberFormat="1" applyFont="1" applyFill="1" applyBorder="1" applyAlignment="1">
      <alignment horizontal="right" vertical="top"/>
    </xf>
    <xf numFmtId="0" fontId="0" fillId="0" borderId="48" xfId="0" applyBorder="1" applyAlignment="1">
      <alignment horizontal="left" indent="2"/>
    </xf>
    <xf numFmtId="9" fontId="0" fillId="0" borderId="48" xfId="0" applyNumberFormat="1" applyBorder="1" applyAlignment="1">
      <alignment horizontal="center"/>
    </xf>
    <xf numFmtId="0" fontId="0" fillId="0" borderId="48" xfId="0" applyBorder="1" applyAlignment="1">
      <alignment horizontal="right" vertical="top"/>
    </xf>
    <xf numFmtId="9" fontId="0" fillId="0" borderId="48" xfId="3" applyFont="1" applyBorder="1" applyAlignment="1">
      <alignment horizontal="right" vertical="top"/>
    </xf>
    <xf numFmtId="9" fontId="0" fillId="0" borderId="48" xfId="0" applyNumberFormat="1" applyBorder="1" applyAlignment="1">
      <alignment horizontal="right" vertical="top"/>
    </xf>
    <xf numFmtId="9" fontId="0" fillId="0" borderId="49" xfId="0" applyNumberFormat="1" applyBorder="1" applyAlignment="1">
      <alignment horizontal="right" vertical="top"/>
    </xf>
    <xf numFmtId="0" fontId="12" fillId="0" borderId="48" xfId="0" applyFont="1" applyBorder="1" applyAlignment="1">
      <alignment horizontal="left" indent="2"/>
    </xf>
    <xf numFmtId="0" fontId="0" fillId="0" borderId="49" xfId="0" applyBorder="1" applyAlignment="1">
      <alignment horizontal="right" vertical="top"/>
    </xf>
    <xf numFmtId="0" fontId="19" fillId="0" borderId="46" xfId="0" applyFont="1" applyBorder="1" applyAlignment="1">
      <alignment horizontal="right" vertical="top"/>
    </xf>
    <xf numFmtId="1" fontId="21" fillId="0" borderId="46" xfId="0" applyNumberFormat="1" applyFont="1" applyBorder="1" applyAlignment="1">
      <alignment horizontal="right" vertical="top"/>
    </xf>
    <xf numFmtId="0" fontId="19" fillId="0" borderId="48" xfId="0" applyFont="1" applyBorder="1" applyAlignment="1">
      <alignment horizontal="right" vertical="top"/>
    </xf>
    <xf numFmtId="1" fontId="21" fillId="0" borderId="48" xfId="0" applyNumberFormat="1" applyFont="1" applyBorder="1" applyAlignment="1">
      <alignment horizontal="right" vertical="top"/>
    </xf>
    <xf numFmtId="0" fontId="19" fillId="0" borderId="52" xfId="0" applyFont="1" applyBorder="1" applyAlignment="1">
      <alignment horizontal="right" vertical="top"/>
    </xf>
    <xf numFmtId="0" fontId="21" fillId="0" borderId="48" xfId="0" applyFont="1" applyBorder="1" applyAlignment="1">
      <alignment horizontal="center"/>
    </xf>
    <xf numFmtId="1" fontId="21" fillId="0" borderId="52" xfId="0" applyNumberFormat="1" applyFont="1" applyBorder="1" applyAlignment="1">
      <alignment horizontal="right" vertical="top"/>
    </xf>
    <xf numFmtId="165" fontId="21" fillId="0" borderId="46" xfId="1" applyNumberFormat="1" applyFont="1" applyBorder="1" applyAlignment="1">
      <alignment horizontal="right" vertical="top"/>
    </xf>
    <xf numFmtId="165" fontId="21" fillId="0" borderId="17" xfId="1" applyNumberFormat="1" applyFont="1" applyBorder="1" applyAlignment="1">
      <alignment horizontal="right" vertical="top"/>
    </xf>
    <xf numFmtId="165" fontId="21" fillId="0" borderId="48" xfId="1" applyNumberFormat="1" applyFont="1" applyBorder="1" applyAlignment="1">
      <alignment horizontal="right" vertical="top"/>
    </xf>
    <xf numFmtId="165" fontId="21" fillId="0" borderId="52" xfId="1" applyNumberFormat="1" applyFont="1" applyBorder="1" applyAlignment="1">
      <alignment horizontal="right" vertical="top"/>
    </xf>
    <xf numFmtId="165" fontId="21" fillId="0" borderId="53" xfId="1" applyNumberFormat="1" applyFont="1" applyBorder="1" applyAlignment="1">
      <alignment horizontal="right" vertical="top"/>
    </xf>
    <xf numFmtId="0" fontId="0" fillId="10" borderId="47" xfId="0" applyFill="1" applyBorder="1"/>
    <xf numFmtId="0" fontId="0" fillId="10" borderId="48" xfId="0" applyFont="1" applyFill="1" applyBorder="1" applyAlignment="1">
      <alignment horizontal="left" indent="2"/>
    </xf>
    <xf numFmtId="0" fontId="0" fillId="10" borderId="48" xfId="0" applyFont="1" applyFill="1" applyBorder="1" applyAlignment="1">
      <alignment horizontal="right"/>
    </xf>
    <xf numFmtId="0" fontId="0" fillId="10" borderId="48" xfId="0" applyFont="1" applyFill="1" applyBorder="1" applyAlignment="1">
      <alignment horizontal="right" vertical="top"/>
    </xf>
    <xf numFmtId="9" fontId="18" fillId="10" borderId="48" xfId="3" applyFont="1" applyFill="1" applyBorder="1" applyAlignment="1">
      <alignment horizontal="right" vertical="top"/>
    </xf>
    <xf numFmtId="0" fontId="12" fillId="0" borderId="47" xfId="0" applyFont="1" applyBorder="1"/>
    <xf numFmtId="1" fontId="12" fillId="0" borderId="48" xfId="3" applyNumberFormat="1" applyFont="1" applyBorder="1" applyAlignment="1">
      <alignment horizontal="right" vertical="top"/>
    </xf>
    <xf numFmtId="0" fontId="0" fillId="16" borderId="47" xfId="0" applyFill="1" applyBorder="1"/>
    <xf numFmtId="0" fontId="12" fillId="16" borderId="48" xfId="0" applyFont="1" applyFill="1" applyBorder="1" applyAlignment="1">
      <alignment horizontal="left"/>
    </xf>
    <xf numFmtId="0" fontId="12" fillId="16" borderId="48" xfId="0" applyFont="1" applyFill="1" applyBorder="1" applyAlignment="1">
      <alignment horizontal="center"/>
    </xf>
    <xf numFmtId="0" fontId="0" fillId="16" borderId="48" xfId="0" applyFill="1" applyBorder="1" applyAlignment="1">
      <alignment horizontal="right" vertical="top"/>
    </xf>
    <xf numFmtId="165" fontId="12" fillId="16" borderId="48" xfId="0" applyNumberFormat="1" applyFont="1" applyFill="1" applyBorder="1" applyAlignment="1">
      <alignment horizontal="right" vertical="top"/>
    </xf>
    <xf numFmtId="165" fontId="12" fillId="16" borderId="49" xfId="0" applyNumberFormat="1" applyFont="1" applyFill="1" applyBorder="1" applyAlignment="1">
      <alignment horizontal="right" vertical="top"/>
    </xf>
    <xf numFmtId="0" fontId="12" fillId="0" borderId="48" xfId="0" applyFont="1" applyBorder="1" applyAlignment="1">
      <alignment horizontal="right" vertical="top"/>
    </xf>
    <xf numFmtId="165" fontId="12" fillId="0" borderId="48" xfId="0" applyNumberFormat="1" applyFont="1" applyBorder="1" applyAlignment="1">
      <alignment horizontal="right" vertical="top"/>
    </xf>
    <xf numFmtId="165" fontId="12" fillId="0" borderId="49" xfId="0" applyNumberFormat="1" applyFont="1" applyBorder="1" applyAlignment="1">
      <alignment horizontal="right" vertical="top"/>
    </xf>
    <xf numFmtId="0" fontId="0" fillId="18" borderId="48" xfId="0" applyFill="1" applyBorder="1" applyAlignment="1">
      <alignment horizontal="left" indent="4"/>
    </xf>
    <xf numFmtId="0" fontId="0" fillId="18" borderId="48" xfId="0" applyFill="1" applyBorder="1" applyAlignment="1">
      <alignment horizontal="center"/>
    </xf>
    <xf numFmtId="0" fontId="0" fillId="18" borderId="48" xfId="0" applyFill="1" applyBorder="1" applyAlignment="1">
      <alignment horizontal="right" vertical="top"/>
    </xf>
    <xf numFmtId="0" fontId="0" fillId="0" borderId="48" xfId="0" applyFill="1" applyBorder="1" applyAlignment="1">
      <alignment horizontal="left" indent="4"/>
    </xf>
    <xf numFmtId="0" fontId="0" fillId="0" borderId="48" xfId="0" applyFill="1" applyBorder="1" applyAlignment="1">
      <alignment horizontal="center"/>
    </xf>
    <xf numFmtId="0" fontId="0" fillId="0" borderId="48" xfId="0" applyFill="1" applyBorder="1" applyAlignment="1">
      <alignment horizontal="right" vertical="top"/>
    </xf>
    <xf numFmtId="0" fontId="0" fillId="0" borderId="49" xfId="0" applyFill="1" applyBorder="1" applyAlignment="1">
      <alignment horizontal="right" vertical="top"/>
    </xf>
    <xf numFmtId="0" fontId="19" fillId="0" borderId="48" xfId="0" applyFont="1" applyFill="1" applyBorder="1" applyAlignment="1">
      <alignment horizontal="left" indent="4"/>
    </xf>
    <xf numFmtId="167" fontId="0" fillId="18" borderId="48" xfId="0" applyNumberFormat="1" applyFill="1" applyBorder="1" applyAlignment="1">
      <alignment horizontal="right" vertical="top"/>
    </xf>
    <xf numFmtId="167" fontId="0" fillId="18" borderId="49" xfId="0" applyNumberFormat="1" applyFill="1" applyBorder="1" applyAlignment="1">
      <alignment horizontal="right" vertical="top"/>
    </xf>
    <xf numFmtId="0" fontId="0" fillId="0" borderId="48" xfId="0" applyFont="1" applyBorder="1" applyAlignment="1">
      <alignment horizontal="left" indent="4"/>
    </xf>
    <xf numFmtId="165" fontId="12" fillId="0" borderId="48" xfId="1" applyNumberFormat="1" applyFont="1" applyBorder="1" applyAlignment="1">
      <alignment horizontal="right" vertical="top"/>
    </xf>
    <xf numFmtId="165" fontId="12" fillId="0" borderId="49" xfId="1" applyNumberFormat="1" applyFont="1" applyBorder="1" applyAlignment="1">
      <alignment horizontal="right" vertical="top"/>
    </xf>
    <xf numFmtId="0" fontId="0" fillId="0" borderId="46" xfId="0" applyBorder="1" applyAlignment="1">
      <alignment horizontal="right" vertical="top"/>
    </xf>
    <xf numFmtId="165" fontId="18" fillId="0" borderId="46" xfId="1" applyNumberFormat="1" applyFont="1" applyBorder="1" applyAlignment="1">
      <alignment horizontal="right" vertical="top"/>
    </xf>
    <xf numFmtId="165" fontId="18" fillId="0" borderId="17" xfId="1" applyNumberFormat="1" applyFont="1" applyBorder="1" applyAlignment="1">
      <alignment horizontal="right" vertical="top"/>
    </xf>
    <xf numFmtId="164" fontId="0" fillId="0" borderId="52" xfId="2" applyNumberFormat="1" applyFont="1" applyBorder="1" applyAlignment="1">
      <alignment horizontal="center"/>
    </xf>
    <xf numFmtId="0" fontId="0" fillId="0" borderId="52" xfId="0" applyBorder="1" applyAlignment="1">
      <alignment horizontal="right" vertical="top"/>
    </xf>
    <xf numFmtId="165" fontId="18" fillId="0" borderId="52" xfId="1" applyNumberFormat="1" applyFont="1" applyBorder="1" applyAlignment="1">
      <alignment horizontal="right" vertical="top"/>
    </xf>
    <xf numFmtId="165" fontId="18" fillId="0" borderId="53" xfId="1" applyNumberFormat="1" applyFont="1" applyBorder="1" applyAlignment="1">
      <alignment horizontal="right" vertical="top"/>
    </xf>
    <xf numFmtId="164" fontId="0" fillId="0" borderId="48" xfId="2" applyNumberFormat="1" applyFont="1" applyBorder="1" applyAlignment="1">
      <alignment horizontal="center"/>
    </xf>
    <xf numFmtId="165" fontId="18" fillId="0" borderId="48" xfId="1" applyNumberFormat="1" applyFont="1" applyBorder="1" applyAlignment="1">
      <alignment horizontal="right" vertical="top"/>
    </xf>
    <xf numFmtId="165" fontId="18" fillId="0" borderId="49" xfId="1" applyNumberFormat="1" applyFont="1" applyBorder="1" applyAlignment="1">
      <alignment horizontal="right" vertical="top"/>
    </xf>
    <xf numFmtId="0" fontId="12" fillId="0" borderId="48" xfId="0" applyFont="1" applyFill="1" applyBorder="1" applyAlignment="1">
      <alignment horizontal="left" indent="2"/>
    </xf>
    <xf numFmtId="165" fontId="12" fillId="0" borderId="48" xfId="1" applyNumberFormat="1" applyFont="1" applyFill="1" applyBorder="1" applyAlignment="1">
      <alignment horizontal="right" vertical="top"/>
    </xf>
    <xf numFmtId="165" fontId="12" fillId="0" borderId="49" xfId="1" applyNumberFormat="1" applyFont="1" applyFill="1" applyBorder="1" applyAlignment="1">
      <alignment horizontal="right" vertical="top"/>
    </xf>
    <xf numFmtId="0" fontId="0" fillId="0" borderId="46" xfId="0" applyFont="1" applyBorder="1" applyAlignment="1">
      <alignment horizontal="left" indent="4"/>
    </xf>
    <xf numFmtId="165" fontId="12" fillId="0" borderId="46" xfId="0" applyNumberFormat="1" applyFont="1" applyBorder="1" applyAlignment="1">
      <alignment horizontal="right" vertical="top"/>
    </xf>
    <xf numFmtId="166" fontId="0" fillId="0" borderId="48" xfId="0" applyNumberFormat="1" applyBorder="1" applyAlignment="1">
      <alignment horizontal="center"/>
    </xf>
    <xf numFmtId="1" fontId="0" fillId="0" borderId="48" xfId="0" applyNumberFormat="1" applyBorder="1" applyAlignment="1">
      <alignment horizontal="center"/>
    </xf>
    <xf numFmtId="165" fontId="0" fillId="0" borderId="48" xfId="1" applyNumberFormat="1" applyFont="1" applyBorder="1" applyAlignment="1">
      <alignment horizontal="right" vertical="top"/>
    </xf>
    <xf numFmtId="165" fontId="0" fillId="0" borderId="49" xfId="1" applyNumberFormat="1" applyFont="1" applyBorder="1" applyAlignment="1">
      <alignment horizontal="right" vertical="top"/>
    </xf>
    <xf numFmtId="0" fontId="0" fillId="0" borderId="48" xfId="0" applyFont="1" applyFill="1" applyBorder="1" applyAlignment="1">
      <alignment horizontal="left" indent="2"/>
    </xf>
    <xf numFmtId="0" fontId="0" fillId="0" borderId="48" xfId="0" applyFont="1" applyBorder="1" applyAlignment="1">
      <alignment horizontal="center"/>
    </xf>
    <xf numFmtId="164" fontId="18" fillId="0" borderId="48" xfId="2" applyNumberFormat="1" applyFont="1" applyFill="1" applyBorder="1" applyAlignment="1">
      <alignment horizontal="right" vertical="top"/>
    </xf>
    <xf numFmtId="0" fontId="20" fillId="0" borderId="48" xfId="0" applyFont="1" applyBorder="1"/>
    <xf numFmtId="0" fontId="12" fillId="0" borderId="47" xfId="0" applyFont="1" applyFill="1" applyBorder="1"/>
    <xf numFmtId="0" fontId="20" fillId="0" borderId="48" xfId="0" applyFont="1" applyFill="1" applyBorder="1"/>
    <xf numFmtId="165" fontId="12" fillId="0" borderId="48" xfId="0" applyNumberFormat="1" applyFont="1" applyFill="1" applyBorder="1" applyAlignment="1">
      <alignment horizontal="right" vertical="top"/>
    </xf>
    <xf numFmtId="165" fontId="12" fillId="0" borderId="49" xfId="0" applyNumberFormat="1" applyFont="1" applyFill="1" applyBorder="1" applyAlignment="1">
      <alignment horizontal="right" vertical="top"/>
    </xf>
    <xf numFmtId="165" fontId="12" fillId="10" borderId="48" xfId="1" applyNumberFormat="1" applyFont="1" applyFill="1" applyBorder="1" applyAlignment="1">
      <alignment horizontal="right" vertical="top"/>
    </xf>
    <xf numFmtId="165" fontId="0" fillId="0" borderId="48" xfId="0" applyNumberFormat="1" applyFill="1" applyBorder="1" applyAlignment="1">
      <alignment horizontal="right" vertical="top"/>
    </xf>
    <xf numFmtId="0" fontId="0" fillId="0" borderId="47" xfId="0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21" borderId="0" xfId="0" applyFill="1"/>
    <xf numFmtId="0" fontId="20" fillId="21" borderId="0" xfId="0" applyFont="1" applyFill="1"/>
    <xf numFmtId="0" fontId="0" fillId="21" borderId="0" xfId="0" applyFill="1" applyAlignment="1">
      <alignment horizontal="center"/>
    </xf>
    <xf numFmtId="9" fontId="0" fillId="21" borderId="0" xfId="3" applyFont="1" applyFill="1" applyAlignment="1">
      <alignment horizontal="center"/>
    </xf>
    <xf numFmtId="165" fontId="36" fillId="21" borderId="0" xfId="1" applyNumberFormat="1" applyFont="1" applyFill="1" applyAlignment="1">
      <alignment horizontal="right" vertical="top"/>
    </xf>
    <xf numFmtId="165" fontId="12" fillId="21" borderId="0" xfId="0" applyNumberFormat="1" applyFont="1" applyFill="1" applyAlignment="1">
      <alignment horizontal="right" vertical="top"/>
    </xf>
    <xf numFmtId="0" fontId="12" fillId="0" borderId="56" xfId="0" applyFont="1" applyBorder="1" applyAlignment="1"/>
    <xf numFmtId="0" fontId="0" fillId="0" borderId="56" xfId="0" applyBorder="1"/>
    <xf numFmtId="0" fontId="0" fillId="0" borderId="57" xfId="0" applyBorder="1" applyAlignment="1">
      <alignment horizontal="center"/>
    </xf>
    <xf numFmtId="0" fontId="0" fillId="0" borderId="58" xfId="0" applyFill="1" applyBorder="1"/>
    <xf numFmtId="1" fontId="0" fillId="0" borderId="59" xfId="0" applyNumberFormat="1" applyFill="1" applyBorder="1"/>
    <xf numFmtId="0" fontId="0" fillId="0" borderId="59" xfId="0" applyFill="1" applyBorder="1"/>
    <xf numFmtId="0" fontId="0" fillId="0" borderId="0" xfId="0" applyBorder="1" applyAlignment="1">
      <alignment horizontal="center"/>
    </xf>
    <xf numFmtId="0" fontId="22" fillId="0" borderId="58" xfId="0" applyFont="1" applyBorder="1" applyAlignment="1">
      <alignment horizontal="center" vertical="center"/>
    </xf>
    <xf numFmtId="0" fontId="22" fillId="0" borderId="59" xfId="0" applyFont="1" applyBorder="1" applyAlignment="1">
      <alignment horizontal="center" vertical="center"/>
    </xf>
    <xf numFmtId="9" fontId="22" fillId="0" borderId="59" xfId="3" applyFont="1" applyBorder="1" applyAlignment="1">
      <alignment horizontal="center" vertical="center"/>
    </xf>
    <xf numFmtId="1" fontId="22" fillId="0" borderId="59" xfId="0" applyNumberFormat="1" applyFont="1" applyBorder="1" applyAlignment="1">
      <alignment horizontal="center" vertical="center"/>
    </xf>
    <xf numFmtId="0" fontId="2" fillId="0" borderId="58" xfId="0" applyFont="1" applyBorder="1" applyAlignment="1">
      <alignment wrapText="1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59" xfId="0" applyBorder="1"/>
    <xf numFmtId="0" fontId="12" fillId="23" borderId="48" xfId="0" applyFont="1" applyFill="1" applyBorder="1"/>
    <xf numFmtId="0" fontId="12" fillId="23" borderId="48" xfId="0" applyFont="1" applyFill="1" applyBorder="1" applyAlignment="1">
      <alignment horizontal="center"/>
    </xf>
    <xf numFmtId="0" fontId="12" fillId="23" borderId="48" xfId="0" applyFont="1" applyFill="1" applyBorder="1" applyAlignment="1">
      <alignment horizontal="right"/>
    </xf>
    <xf numFmtId="9" fontId="12" fillId="23" borderId="48" xfId="3" applyFont="1" applyFill="1" applyBorder="1" applyAlignment="1">
      <alignment horizontal="right"/>
    </xf>
    <xf numFmtId="165" fontId="0" fillId="0" borderId="46" xfId="1" applyNumberFormat="1" applyFont="1" applyBorder="1" applyAlignment="1">
      <alignment horizontal="right" vertical="top"/>
    </xf>
    <xf numFmtId="0" fontId="0" fillId="0" borderId="17" xfId="0" applyBorder="1" applyAlignment="1">
      <alignment horizontal="right" vertical="top"/>
    </xf>
    <xf numFmtId="165" fontId="0" fillId="0" borderId="52" xfId="1" applyNumberFormat="1" applyFont="1" applyBorder="1" applyAlignment="1">
      <alignment horizontal="right" vertical="top"/>
    </xf>
    <xf numFmtId="0" fontId="0" fillId="0" borderId="53" xfId="0" applyBorder="1" applyAlignment="1">
      <alignment horizontal="right" vertical="top"/>
    </xf>
    <xf numFmtId="0" fontId="12" fillId="18" borderId="51" xfId="0" applyFont="1" applyFill="1" applyBorder="1" applyAlignment="1">
      <alignment vertical="center"/>
    </xf>
    <xf numFmtId="0" fontId="12" fillId="18" borderId="46" xfId="0" applyFont="1" applyFill="1" applyBorder="1"/>
    <xf numFmtId="9" fontId="12" fillId="18" borderId="55" xfId="3" applyFont="1" applyFill="1" applyBorder="1" applyAlignment="1">
      <alignment horizontal="center"/>
    </xf>
    <xf numFmtId="0" fontId="25" fillId="18" borderId="55" xfId="0" applyFont="1" applyFill="1" applyBorder="1" applyAlignment="1">
      <alignment horizontal="right" vertical="top"/>
    </xf>
    <xf numFmtId="165" fontId="36" fillId="18" borderId="55" xfId="1" applyNumberFormat="1" applyFont="1" applyFill="1" applyBorder="1" applyAlignment="1">
      <alignment horizontal="right" vertical="top"/>
    </xf>
    <xf numFmtId="0" fontId="0" fillId="0" borderId="47" xfId="0" applyFill="1" applyBorder="1" applyAlignment="1">
      <alignment vertical="center"/>
    </xf>
    <xf numFmtId="9" fontId="0" fillId="0" borderId="48" xfId="3" applyFont="1" applyFill="1" applyBorder="1" applyAlignment="1">
      <alignment horizontal="center"/>
    </xf>
    <xf numFmtId="0" fontId="19" fillId="0" borderId="48" xfId="0" applyFont="1" applyFill="1" applyBorder="1" applyAlignment="1">
      <alignment horizontal="right" vertical="top"/>
    </xf>
    <xf numFmtId="2" fontId="19" fillId="0" borderId="48" xfId="0" applyNumberFormat="1" applyFont="1" applyFill="1" applyBorder="1" applyAlignment="1">
      <alignment horizontal="right" vertical="top"/>
    </xf>
    <xf numFmtId="2" fontId="19" fillId="0" borderId="49" xfId="0" applyNumberFormat="1" applyFont="1" applyFill="1" applyBorder="1" applyAlignment="1">
      <alignment horizontal="right" vertical="top"/>
    </xf>
    <xf numFmtId="0" fontId="0" fillId="0" borderId="47" xfId="0" applyFill="1" applyBorder="1"/>
    <xf numFmtId="0" fontId="0" fillId="0" borderId="48" xfId="0" applyFill="1" applyBorder="1"/>
    <xf numFmtId="0" fontId="0" fillId="0" borderId="47" xfId="0" applyBorder="1" applyAlignment="1">
      <alignment horizontal="center" vertical="center" wrapText="1"/>
    </xf>
    <xf numFmtId="0" fontId="12" fillId="18" borderId="55" xfId="0" applyFont="1" applyFill="1" applyBorder="1"/>
    <xf numFmtId="0" fontId="12" fillId="18" borderId="55" xfId="0" applyFont="1" applyFill="1" applyBorder="1" applyAlignment="1">
      <alignment horizontal="right" vertical="top"/>
    </xf>
    <xf numFmtId="165" fontId="12" fillId="18" borderId="55" xfId="0" applyNumberFormat="1" applyFont="1" applyFill="1" applyBorder="1" applyAlignment="1">
      <alignment horizontal="right" vertical="top"/>
    </xf>
    <xf numFmtId="0" fontId="0" fillId="23" borderId="51" xfId="0" applyFill="1" applyBorder="1" applyAlignment="1">
      <alignment horizontal="left" indent="4"/>
    </xf>
    <xf numFmtId="0" fontId="12" fillId="23" borderId="55" xfId="0" applyFont="1" applyFill="1" applyBorder="1" applyAlignment="1">
      <alignment horizontal="center"/>
    </xf>
    <xf numFmtId="0" fontId="12" fillId="23" borderId="55" xfId="0" applyFont="1" applyFill="1" applyBorder="1" applyAlignment="1">
      <alignment horizontal="right" vertical="top"/>
    </xf>
    <xf numFmtId="165" fontId="12" fillId="23" borderId="55" xfId="0" applyNumberFormat="1" applyFont="1" applyFill="1" applyBorder="1" applyAlignment="1">
      <alignment horizontal="right" vertical="top"/>
    </xf>
    <xf numFmtId="167" fontId="0" fillId="0" borderId="15" xfId="1" applyNumberFormat="1" applyFont="1" applyBorder="1" applyAlignment="1"/>
    <xf numFmtId="0" fontId="12" fillId="0" borderId="52" xfId="0" applyFont="1" applyFill="1" applyBorder="1" applyAlignment="1">
      <alignment horizontal="left" indent="2"/>
    </xf>
    <xf numFmtId="168" fontId="12" fillId="9" borderId="5" xfId="3" applyNumberFormat="1" applyFont="1" applyFill="1" applyBorder="1"/>
    <xf numFmtId="168" fontId="32" fillId="0" borderId="25" xfId="0" applyNumberFormat="1" applyFont="1" applyBorder="1" applyAlignment="1">
      <alignment horizontal="center" vertical="center" wrapText="1"/>
    </xf>
    <xf numFmtId="0" fontId="0" fillId="0" borderId="60" xfId="0" applyBorder="1" applyAlignment="1">
      <alignment horizontal="right" vertical="top"/>
    </xf>
    <xf numFmtId="0" fontId="0" fillId="0" borderId="48" xfId="0" applyFont="1" applyBorder="1" applyAlignment="1">
      <alignment horizontal="left" indent="2"/>
    </xf>
    <xf numFmtId="168" fontId="18" fillId="10" borderId="48" xfId="3" applyNumberFormat="1" applyFont="1" applyFill="1" applyBorder="1" applyAlignment="1">
      <alignment horizontal="right" vertical="top"/>
    </xf>
    <xf numFmtId="9" fontId="18" fillId="0" borderId="48" xfId="3" applyFont="1" applyFill="1" applyBorder="1" applyAlignment="1">
      <alignment horizontal="right" vertical="top"/>
    </xf>
    <xf numFmtId="2" fontId="0" fillId="0" borderId="59" xfId="0" applyNumberFormat="1" applyFill="1" applyBorder="1"/>
    <xf numFmtId="0" fontId="0" fillId="0" borderId="47" xfId="0" applyBorder="1" applyAlignment="1">
      <alignment horizontal="center" vertical="center" wrapText="1"/>
    </xf>
    <xf numFmtId="9" fontId="0" fillId="14" borderId="48" xfId="3" applyFont="1" applyFill="1" applyBorder="1" applyAlignment="1">
      <alignment horizontal="right" vertical="center"/>
    </xf>
    <xf numFmtId="168" fontId="12" fillId="9" borderId="0" xfId="0" applyNumberFormat="1" applyFont="1" applyFill="1" applyAlignment="1">
      <alignment horizontal="right" vertical="top"/>
    </xf>
    <xf numFmtId="165" fontId="36" fillId="10" borderId="48" xfId="0" applyNumberFormat="1" applyFont="1" applyFill="1" applyBorder="1" applyAlignment="1">
      <alignment horizontal="right" vertical="top"/>
    </xf>
    <xf numFmtId="0" fontId="12" fillId="10" borderId="66" xfId="0" applyFont="1" applyFill="1" applyBorder="1"/>
    <xf numFmtId="0" fontId="0" fillId="0" borderId="74" xfId="0" applyBorder="1"/>
    <xf numFmtId="0" fontId="0" fillId="0" borderId="75" xfId="0" applyBorder="1"/>
    <xf numFmtId="0" fontId="12" fillId="10" borderId="39" xfId="0" applyFont="1" applyFill="1" applyBorder="1"/>
    <xf numFmtId="0" fontId="0" fillId="0" borderId="76" xfId="0" applyBorder="1" applyAlignment="1">
      <alignment horizontal="left" indent="2"/>
    </xf>
    <xf numFmtId="0" fontId="0" fillId="0" borderId="74" xfId="0" applyBorder="1" applyAlignment="1">
      <alignment horizontal="left" indent="2"/>
    </xf>
    <xf numFmtId="0" fontId="0" fillId="0" borderId="77" xfId="0" applyBorder="1" applyAlignment="1">
      <alignment horizontal="left" indent="2"/>
    </xf>
    <xf numFmtId="0" fontId="0" fillId="0" borderId="76" xfId="0" applyBorder="1"/>
    <xf numFmtId="0" fontId="12" fillId="10" borderId="67" xfId="0" applyFont="1" applyFill="1" applyBorder="1" applyAlignment="1">
      <alignment horizontal="center"/>
    </xf>
    <xf numFmtId="0" fontId="12" fillId="10" borderId="68" xfId="0" applyFont="1" applyFill="1" applyBorder="1" applyAlignment="1">
      <alignment horizontal="center"/>
    </xf>
    <xf numFmtId="167" fontId="0" fillId="0" borderId="63" xfId="1" applyNumberFormat="1" applyFont="1" applyBorder="1"/>
    <xf numFmtId="167" fontId="0" fillId="0" borderId="64" xfId="1" applyNumberFormat="1" applyFont="1" applyBorder="1"/>
    <xf numFmtId="167" fontId="0" fillId="0" borderId="65" xfId="1" applyNumberFormat="1" applyFont="1" applyBorder="1"/>
    <xf numFmtId="165" fontId="0" fillId="0" borderId="72" xfId="1" applyNumberFormat="1" applyFont="1" applyBorder="1"/>
    <xf numFmtId="165" fontId="0" fillId="0" borderId="69" xfId="1" applyNumberFormat="1" applyFont="1" applyBorder="1"/>
    <xf numFmtId="165" fontId="0" fillId="0" borderId="15" xfId="1" applyNumberFormat="1" applyFont="1" applyBorder="1"/>
    <xf numFmtId="165" fontId="0" fillId="0" borderId="63" xfId="1" applyNumberFormat="1" applyFont="1" applyBorder="1"/>
    <xf numFmtId="165" fontId="0" fillId="0" borderId="64" xfId="1" applyNumberFormat="1" applyFont="1" applyBorder="1"/>
    <xf numFmtId="165" fontId="0" fillId="0" borderId="65" xfId="1" applyNumberFormat="1" applyFont="1" applyBorder="1"/>
    <xf numFmtId="165" fontId="12" fillId="10" borderId="71" xfId="0" applyNumberFormat="1" applyFont="1" applyFill="1" applyBorder="1"/>
    <xf numFmtId="0" fontId="21" fillId="0" borderId="0" xfId="0" applyFont="1" applyAlignment="1">
      <alignment horizontal="left" indent="4"/>
    </xf>
    <xf numFmtId="0" fontId="0" fillId="0" borderId="0" xfId="0" applyFont="1" applyFill="1" applyAlignment="1">
      <alignment horizontal="center"/>
    </xf>
    <xf numFmtId="166" fontId="0" fillId="0" borderId="48" xfId="0" applyNumberFormat="1" applyFill="1" applyBorder="1" applyAlignment="1">
      <alignment horizontal="right" vertical="top"/>
    </xf>
    <xf numFmtId="0" fontId="0" fillId="14" borderId="46" xfId="0" applyFill="1" applyBorder="1" applyAlignment="1">
      <alignment horizontal="left" indent="4"/>
    </xf>
    <xf numFmtId="0" fontId="18" fillId="14" borderId="46" xfId="3" applyNumberFormat="1" applyFont="1" applyFill="1" applyBorder="1" applyAlignment="1">
      <alignment horizontal="center"/>
    </xf>
    <xf numFmtId="9" fontId="18" fillId="14" borderId="46" xfId="3" applyFont="1" applyFill="1" applyBorder="1" applyAlignment="1">
      <alignment horizontal="center"/>
    </xf>
    <xf numFmtId="0" fontId="0" fillId="14" borderId="48" xfId="0" applyFill="1" applyBorder="1" applyAlignment="1">
      <alignment horizontal="left" indent="4"/>
    </xf>
    <xf numFmtId="165" fontId="18" fillId="14" borderId="48" xfId="1" applyNumberFormat="1" applyFont="1" applyFill="1" applyBorder="1" applyAlignment="1">
      <alignment horizontal="center"/>
    </xf>
    <xf numFmtId="9" fontId="18" fillId="14" borderId="48" xfId="3" applyFont="1" applyFill="1" applyBorder="1" applyAlignment="1">
      <alignment horizontal="center"/>
    </xf>
    <xf numFmtId="0" fontId="18" fillId="14" borderId="48" xfId="3" applyNumberFormat="1" applyFont="1" applyFill="1" applyBorder="1" applyAlignment="1">
      <alignment horizontal="center"/>
    </xf>
    <xf numFmtId="0" fontId="0" fillId="14" borderId="52" xfId="0" applyFill="1" applyBorder="1" applyAlignment="1">
      <alignment horizontal="left" indent="4"/>
    </xf>
    <xf numFmtId="165" fontId="0" fillId="14" borderId="52" xfId="1" applyNumberFormat="1" applyFont="1" applyFill="1" applyBorder="1" applyAlignment="1">
      <alignment horizontal="center"/>
    </xf>
    <xf numFmtId="9" fontId="18" fillId="14" borderId="52" xfId="3" applyFont="1" applyFill="1" applyBorder="1" applyAlignment="1">
      <alignment horizontal="center"/>
    </xf>
    <xf numFmtId="9" fontId="0" fillId="0" borderId="15" xfId="3" applyFont="1" applyBorder="1"/>
    <xf numFmtId="168" fontId="0" fillId="0" borderId="15" xfId="3" applyNumberFormat="1" applyFont="1" applyBorder="1"/>
    <xf numFmtId="9" fontId="0" fillId="0" borderId="64" xfId="3" applyFont="1" applyBorder="1"/>
    <xf numFmtId="9" fontId="0" fillId="0" borderId="63" xfId="3" applyFont="1" applyBorder="1"/>
    <xf numFmtId="168" fontId="0" fillId="0" borderId="63" xfId="3" applyNumberFormat="1" applyFont="1" applyBorder="1"/>
    <xf numFmtId="9" fontId="0" fillId="0" borderId="65" xfId="3" applyFont="1" applyBorder="1"/>
    <xf numFmtId="165" fontId="12" fillId="10" borderId="19" xfId="0" applyNumberFormat="1" applyFont="1" applyFill="1" applyBorder="1"/>
    <xf numFmtId="0" fontId="0" fillId="0" borderId="75" xfId="0" applyBorder="1" applyAlignment="1">
      <alignment horizontal="left" indent="2"/>
    </xf>
    <xf numFmtId="0" fontId="0" fillId="0" borderId="73" xfId="0" applyBorder="1" applyAlignment="1">
      <alignment horizontal="left" indent="2"/>
    </xf>
    <xf numFmtId="167" fontId="0" fillId="0" borderId="61" xfId="1" applyNumberFormat="1" applyFont="1" applyBorder="1"/>
    <xf numFmtId="167" fontId="0" fillId="0" borderId="62" xfId="1" applyNumberFormat="1" applyFont="1" applyBorder="1"/>
    <xf numFmtId="165" fontId="0" fillId="0" borderId="78" xfId="1" applyNumberFormat="1" applyFont="1" applyBorder="1"/>
    <xf numFmtId="165" fontId="0" fillId="0" borderId="61" xfId="1" applyNumberFormat="1" applyFont="1" applyBorder="1"/>
    <xf numFmtId="165" fontId="0" fillId="0" borderId="62" xfId="1" applyNumberFormat="1" applyFont="1" applyBorder="1"/>
    <xf numFmtId="165" fontId="0" fillId="0" borderId="79" xfId="1" applyNumberFormat="1" applyFont="1" applyBorder="1"/>
    <xf numFmtId="0" fontId="0" fillId="0" borderId="80" xfId="0" applyBorder="1" applyAlignment="1">
      <alignment horizontal="left" indent="2"/>
    </xf>
    <xf numFmtId="165" fontId="0" fillId="0" borderId="81" xfId="1" applyNumberFormat="1" applyFont="1" applyBorder="1"/>
    <xf numFmtId="165" fontId="0" fillId="0" borderId="82" xfId="1" applyNumberFormat="1" applyFont="1" applyBorder="1"/>
    <xf numFmtId="9" fontId="0" fillId="0" borderId="82" xfId="3" applyFont="1" applyBorder="1"/>
    <xf numFmtId="165" fontId="0" fillId="0" borderId="83" xfId="1" applyNumberFormat="1" applyFont="1" applyBorder="1"/>
    <xf numFmtId="165" fontId="0" fillId="0" borderId="48" xfId="1" applyNumberFormat="1" applyFont="1" applyFill="1" applyBorder="1" applyAlignment="1">
      <alignment horizontal="right" vertical="top"/>
    </xf>
    <xf numFmtId="165" fontId="0" fillId="0" borderId="49" xfId="1" applyNumberFormat="1" applyFont="1" applyFill="1" applyBorder="1" applyAlignment="1">
      <alignment horizontal="right" vertical="top"/>
    </xf>
    <xf numFmtId="0" fontId="0" fillId="14" borderId="48" xfId="0" applyFont="1" applyFill="1" applyBorder="1" applyAlignment="1">
      <alignment horizontal="left" indent="2"/>
    </xf>
    <xf numFmtId="0" fontId="12" fillId="10" borderId="51" xfId="0" applyFont="1" applyFill="1" applyBorder="1" applyAlignment="1">
      <alignment horizontal="left"/>
    </xf>
    <xf numFmtId="9" fontId="12" fillId="10" borderId="55" xfId="3" applyFont="1" applyFill="1" applyBorder="1"/>
    <xf numFmtId="165" fontId="12" fillId="10" borderId="84" xfId="1" applyNumberFormat="1" applyFont="1" applyFill="1" applyBorder="1"/>
    <xf numFmtId="165" fontId="12" fillId="10" borderId="55" xfId="0" applyNumberFormat="1" applyFont="1" applyFill="1" applyBorder="1"/>
    <xf numFmtId="0" fontId="0" fillId="0" borderId="85" xfId="0" applyBorder="1"/>
    <xf numFmtId="0" fontId="0" fillId="0" borderId="86" xfId="0" applyBorder="1"/>
    <xf numFmtId="0" fontId="0" fillId="0" borderId="82" xfId="0" applyBorder="1" applyAlignment="1">
      <alignment horizontal="right"/>
    </xf>
    <xf numFmtId="0" fontId="0" fillId="0" borderId="83" xfId="0" applyBorder="1" applyAlignment="1">
      <alignment horizontal="right"/>
    </xf>
    <xf numFmtId="165" fontId="0" fillId="0" borderId="64" xfId="0" applyNumberFormat="1" applyBorder="1"/>
    <xf numFmtId="0" fontId="0" fillId="0" borderId="87" xfId="0" applyBorder="1"/>
    <xf numFmtId="0" fontId="0" fillId="0" borderId="88" xfId="0" applyBorder="1" applyAlignment="1">
      <alignment horizontal="center"/>
    </xf>
    <xf numFmtId="0" fontId="0" fillId="0" borderId="89" xfId="0" applyBorder="1" applyAlignment="1">
      <alignment horizontal="center"/>
    </xf>
    <xf numFmtId="0" fontId="0" fillId="0" borderId="38" xfId="0" applyBorder="1"/>
    <xf numFmtId="165" fontId="0" fillId="0" borderId="0" xfId="1" applyNumberFormat="1" applyFont="1" applyBorder="1" applyAlignment="1">
      <alignment horizontal="right"/>
    </xf>
    <xf numFmtId="10" fontId="0" fillId="0" borderId="0" xfId="0" applyNumberFormat="1" applyBorder="1" applyAlignment="1">
      <alignment horizontal="right"/>
    </xf>
    <xf numFmtId="10" fontId="0" fillId="0" borderId="90" xfId="3" applyNumberFormat="1" applyFont="1" applyBorder="1" applyAlignment="1">
      <alignment horizontal="right"/>
    </xf>
    <xf numFmtId="168" fontId="0" fillId="0" borderId="90" xfId="3" applyNumberFormat="1" applyFont="1" applyBorder="1" applyAlignment="1">
      <alignment horizontal="right"/>
    </xf>
    <xf numFmtId="0" fontId="0" fillId="0" borderId="91" xfId="0" applyBorder="1"/>
    <xf numFmtId="0" fontId="0" fillId="0" borderId="92" xfId="0" applyBorder="1" applyAlignment="1">
      <alignment horizontal="right"/>
    </xf>
    <xf numFmtId="0" fontId="0" fillId="0" borderId="93" xfId="0" applyBorder="1" applyAlignment="1">
      <alignment horizontal="right"/>
    </xf>
    <xf numFmtId="165" fontId="0" fillId="14" borderId="39" xfId="1" applyNumberFormat="1" applyFont="1" applyFill="1" applyBorder="1"/>
    <xf numFmtId="0" fontId="0" fillId="0" borderId="81" xfId="0" applyBorder="1" applyAlignment="1">
      <alignment horizontal="right"/>
    </xf>
    <xf numFmtId="0" fontId="12" fillId="24" borderId="1" xfId="0" applyFont="1" applyFill="1" applyBorder="1" applyAlignment="1">
      <alignment horizontal="center"/>
    </xf>
    <xf numFmtId="9" fontId="12" fillId="24" borderId="1" xfId="0" applyNumberFormat="1" applyFont="1" applyFill="1" applyBorder="1" applyAlignment="1">
      <alignment horizontal="center"/>
    </xf>
    <xf numFmtId="0" fontId="12" fillId="24" borderId="1" xfId="0" applyFont="1" applyFill="1" applyBorder="1"/>
    <xf numFmtId="0" fontId="0" fillId="0" borderId="59" xfId="0" applyBorder="1" applyAlignment="1">
      <alignment horizontal="right"/>
    </xf>
    <xf numFmtId="0" fontId="0" fillId="0" borderId="38" xfId="0" applyBorder="1" applyAlignment="1">
      <alignment horizontal="right"/>
    </xf>
    <xf numFmtId="0" fontId="0" fillId="0" borderId="90" xfId="0" applyBorder="1" applyAlignment="1">
      <alignment horizontal="center"/>
    </xf>
    <xf numFmtId="0" fontId="0" fillId="0" borderId="91" xfId="0" applyBorder="1" applyAlignment="1">
      <alignment horizontal="right"/>
    </xf>
    <xf numFmtId="9" fontId="0" fillId="0" borderId="92" xfId="3" applyFont="1" applyBorder="1" applyAlignment="1">
      <alignment horizontal="center"/>
    </xf>
    <xf numFmtId="0" fontId="0" fillId="0" borderId="93" xfId="0" applyBorder="1" applyAlignment="1">
      <alignment horizontal="center"/>
    </xf>
    <xf numFmtId="0" fontId="0" fillId="24" borderId="87" xfId="0" applyFill="1" applyBorder="1" applyAlignment="1">
      <alignment horizontal="center"/>
    </xf>
    <xf numFmtId="0" fontId="0" fillId="24" borderId="88" xfId="0" applyFill="1" applyBorder="1" applyAlignment="1">
      <alignment horizontal="center"/>
    </xf>
    <xf numFmtId="0" fontId="0" fillId="24" borderId="89" xfId="0" applyFill="1" applyBorder="1" applyAlignment="1">
      <alignment horizontal="center"/>
    </xf>
    <xf numFmtId="0" fontId="34" fillId="0" borderId="39" xfId="4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47" xfId="0" applyBorder="1" applyAlignment="1">
      <alignment horizontal="center" vertical="center" wrapText="1"/>
    </xf>
    <xf numFmtId="0" fontId="0" fillId="24" borderId="0" xfId="0" applyFill="1" applyBorder="1" applyAlignment="1">
      <alignment horizontal="center"/>
    </xf>
    <xf numFmtId="0" fontId="0" fillId="0" borderId="69" xfId="0" applyBorder="1" applyAlignment="1">
      <alignment horizontal="right"/>
    </xf>
    <xf numFmtId="0" fontId="0" fillId="0" borderId="70" xfId="0" applyBorder="1" applyAlignment="1">
      <alignment horizontal="right"/>
    </xf>
    <xf numFmtId="0" fontId="0" fillId="0" borderId="78" xfId="0" applyBorder="1" applyAlignment="1">
      <alignment horizontal="center"/>
    </xf>
    <xf numFmtId="165" fontId="0" fillId="0" borderId="69" xfId="0" applyNumberFormat="1" applyBorder="1" applyAlignment="1">
      <alignment horizontal="right"/>
    </xf>
    <xf numFmtId="167" fontId="0" fillId="0" borderId="82" xfId="1" applyNumberFormat="1" applyFont="1" applyBorder="1"/>
    <xf numFmtId="167" fontId="0" fillId="0" borderId="83" xfId="1" applyNumberFormat="1" applyFont="1" applyBorder="1"/>
    <xf numFmtId="165" fontId="12" fillId="10" borderId="66" xfId="0" applyNumberFormat="1" applyFont="1" applyFill="1" applyBorder="1"/>
    <xf numFmtId="167" fontId="0" fillId="0" borderId="81" xfId="1" applyNumberFormat="1" applyFont="1" applyBorder="1"/>
    <xf numFmtId="165" fontId="0" fillId="0" borderId="95" xfId="1" applyNumberFormat="1" applyFont="1" applyBorder="1"/>
    <xf numFmtId="165" fontId="0" fillId="0" borderId="96" xfId="1" applyNumberFormat="1" applyFont="1" applyBorder="1"/>
    <xf numFmtId="0" fontId="0" fillId="0" borderId="88" xfId="0" applyBorder="1"/>
    <xf numFmtId="0" fontId="0" fillId="0" borderId="89" xfId="0" applyBorder="1"/>
    <xf numFmtId="165" fontId="0" fillId="0" borderId="97" xfId="1" applyNumberFormat="1" applyFont="1" applyBorder="1"/>
    <xf numFmtId="165" fontId="0" fillId="0" borderId="94" xfId="1" applyNumberFormat="1" applyFont="1" applyBorder="1"/>
    <xf numFmtId="165" fontId="12" fillId="10" borderId="67" xfId="0" applyNumberFormat="1" applyFont="1" applyFill="1" applyBorder="1"/>
    <xf numFmtId="165" fontId="12" fillId="10" borderId="68" xfId="0" applyNumberFormat="1" applyFont="1" applyFill="1" applyBorder="1"/>
    <xf numFmtId="0" fontId="12" fillId="10" borderId="0" xfId="0" applyFont="1" applyFill="1"/>
    <xf numFmtId="0" fontId="3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3" applyNumberFormat="1" applyFont="1"/>
    <xf numFmtId="0" fontId="12" fillId="10" borderId="81" xfId="0" applyFont="1" applyFill="1" applyBorder="1" applyAlignment="1">
      <alignment horizontal="center"/>
    </xf>
    <xf numFmtId="0" fontId="12" fillId="10" borderId="61" xfId="0" applyFont="1" applyFill="1" applyBorder="1" applyAlignment="1">
      <alignment horizontal="center"/>
    </xf>
    <xf numFmtId="0" fontId="12" fillId="10" borderId="62" xfId="0" applyFont="1" applyFill="1" applyBorder="1" applyAlignment="1">
      <alignment horizontal="center"/>
    </xf>
    <xf numFmtId="0" fontId="0" fillId="0" borderId="82" xfId="0" applyBorder="1"/>
    <xf numFmtId="0" fontId="12" fillId="10" borderId="82" xfId="0" applyFont="1" applyFill="1" applyBorder="1"/>
    <xf numFmtId="165" fontId="12" fillId="10" borderId="15" xfId="1" applyNumberFormat="1" applyFont="1" applyFill="1" applyBorder="1"/>
    <xf numFmtId="165" fontId="12" fillId="10" borderId="63" xfId="1" applyNumberFormat="1" applyFont="1" applyFill="1" applyBorder="1"/>
    <xf numFmtId="0" fontId="0" fillId="0" borderId="63" xfId="0" applyBorder="1"/>
    <xf numFmtId="0" fontId="0" fillId="10" borderId="0" xfId="0" applyFill="1"/>
    <xf numFmtId="165" fontId="0" fillId="0" borderId="98" xfId="1" applyNumberFormat="1" applyFont="1" applyBorder="1"/>
    <xf numFmtId="165" fontId="0" fillId="0" borderId="99" xfId="1" applyNumberFormat="1" applyFont="1" applyBorder="1"/>
    <xf numFmtId="0" fontId="12" fillId="10" borderId="100" xfId="0" applyFont="1" applyFill="1" applyBorder="1"/>
    <xf numFmtId="165" fontId="12" fillId="10" borderId="101" xfId="1" applyNumberFormat="1" applyFont="1" applyFill="1" applyBorder="1"/>
    <xf numFmtId="0" fontId="12" fillId="10" borderId="102" xfId="0" applyFont="1" applyFill="1" applyBorder="1"/>
    <xf numFmtId="165" fontId="12" fillId="10" borderId="67" xfId="1" applyNumberFormat="1" applyFont="1" applyFill="1" applyBorder="1"/>
    <xf numFmtId="165" fontId="12" fillId="10" borderId="68" xfId="1" applyNumberFormat="1" applyFont="1" applyFill="1" applyBorder="1"/>
    <xf numFmtId="9" fontId="0" fillId="0" borderId="1" xfId="0" applyNumberFormat="1" applyFill="1" applyBorder="1" applyAlignment="1">
      <alignment vertical="center"/>
    </xf>
    <xf numFmtId="0" fontId="12" fillId="0" borderId="48" xfId="0" applyFont="1" applyBorder="1" applyAlignment="1">
      <alignment horizontal="left" indent="1"/>
    </xf>
    <xf numFmtId="0" fontId="39" fillId="25" borderId="47" xfId="0" applyFont="1" applyFill="1" applyBorder="1" applyAlignment="1"/>
    <xf numFmtId="0" fontId="39" fillId="25" borderId="48" xfId="0" applyFont="1" applyFill="1" applyBorder="1" applyAlignment="1"/>
    <xf numFmtId="0" fontId="38" fillId="25" borderId="48" xfId="0" applyFont="1" applyFill="1" applyBorder="1" applyAlignment="1">
      <alignment horizontal="center"/>
    </xf>
    <xf numFmtId="0" fontId="38" fillId="25" borderId="49" xfId="0" applyFont="1" applyFill="1" applyBorder="1" applyAlignment="1">
      <alignment horizontal="center"/>
    </xf>
    <xf numFmtId="0" fontId="12" fillId="18" borderId="51" xfId="0" applyFont="1" applyFill="1" applyBorder="1"/>
    <xf numFmtId="0" fontId="38" fillId="15" borderId="47" xfId="0" applyFont="1" applyFill="1" applyBorder="1"/>
    <xf numFmtId="0" fontId="38" fillId="15" borderId="48" xfId="0" applyFont="1" applyFill="1" applyBorder="1"/>
    <xf numFmtId="0" fontId="20" fillId="10" borderId="66" xfId="0" applyFont="1" applyFill="1" applyBorder="1"/>
    <xf numFmtId="0" fontId="12" fillId="10" borderId="18" xfId="0" applyFont="1" applyFill="1" applyBorder="1"/>
    <xf numFmtId="0" fontId="0" fillId="10" borderId="103" xfId="0" applyFill="1" applyBorder="1"/>
    <xf numFmtId="0" fontId="0" fillId="10" borderId="19" xfId="0" applyFill="1" applyBorder="1"/>
    <xf numFmtId="0" fontId="38" fillId="15" borderId="48" xfId="0" applyFont="1" applyFill="1" applyBorder="1" applyAlignment="1">
      <alignment horizontal="center"/>
    </xf>
    <xf numFmtId="0" fontId="38" fillId="15" borderId="48" xfId="0" applyFont="1" applyFill="1" applyBorder="1" applyAlignment="1">
      <alignment horizontal="right" vertical="top"/>
    </xf>
    <xf numFmtId="165" fontId="38" fillId="15" borderId="48" xfId="0" applyNumberFormat="1" applyFont="1" applyFill="1" applyBorder="1" applyAlignment="1">
      <alignment horizontal="right" vertical="top"/>
    </xf>
    <xf numFmtId="0" fontId="38" fillId="15" borderId="48" xfId="0" applyFont="1" applyFill="1" applyBorder="1" applyAlignment="1">
      <alignment horizontal="left" indent="2"/>
    </xf>
    <xf numFmtId="0" fontId="38" fillId="15" borderId="48" xfId="0" applyFont="1" applyFill="1" applyBorder="1" applyAlignment="1">
      <alignment horizontal="right"/>
    </xf>
    <xf numFmtId="168" fontId="38" fillId="15" borderId="48" xfId="3" applyNumberFormat="1" applyFont="1" applyFill="1" applyBorder="1" applyAlignment="1">
      <alignment horizontal="right" vertical="top"/>
    </xf>
    <xf numFmtId="9" fontId="38" fillId="15" borderId="48" xfId="3" applyFont="1" applyFill="1" applyBorder="1" applyAlignment="1">
      <alignment horizontal="right" vertical="top"/>
    </xf>
    <xf numFmtId="0" fontId="0" fillId="0" borderId="97" xfId="0" applyBorder="1"/>
    <xf numFmtId="0" fontId="0" fillId="0" borderId="99" xfId="0" applyBorder="1"/>
    <xf numFmtId="165" fontId="0" fillId="0" borderId="104" xfId="1" applyNumberFormat="1" applyFont="1" applyBorder="1"/>
    <xf numFmtId="0" fontId="0" fillId="0" borderId="98" xfId="0" applyBorder="1"/>
    <xf numFmtId="168" fontId="0" fillId="0" borderId="1" xfId="3" applyNumberFormat="1" applyFont="1" applyBorder="1" applyAlignment="1">
      <alignment horizontal="center"/>
    </xf>
    <xf numFmtId="0" fontId="0" fillId="0" borderId="105" xfId="0" applyBorder="1"/>
    <xf numFmtId="0" fontId="0" fillId="0" borderId="106" xfId="0" applyBorder="1"/>
    <xf numFmtId="0" fontId="0" fillId="0" borderId="107" xfId="0" applyBorder="1"/>
    <xf numFmtId="0" fontId="0" fillId="0" borderId="62" xfId="0" applyBorder="1"/>
    <xf numFmtId="165" fontId="12" fillId="10" borderId="66" xfId="1" applyNumberFormat="1" applyFont="1" applyFill="1" applyBorder="1"/>
    <xf numFmtId="0" fontId="17" fillId="20" borderId="66" xfId="0" applyFont="1" applyFill="1" applyBorder="1"/>
    <xf numFmtId="165" fontId="17" fillId="20" borderId="67" xfId="1" applyNumberFormat="1" applyFont="1" applyFill="1" applyBorder="1"/>
    <xf numFmtId="165" fontId="17" fillId="20" borderId="68" xfId="1" applyNumberFormat="1" applyFont="1" applyFill="1" applyBorder="1"/>
    <xf numFmtId="0" fontId="17" fillId="19" borderId="108" xfId="0" applyFont="1" applyFill="1" applyBorder="1" applyAlignment="1">
      <alignment horizontal="center"/>
    </xf>
    <xf numFmtId="165" fontId="12" fillId="10" borderId="109" xfId="0" applyNumberFormat="1" applyFont="1" applyFill="1" applyBorder="1"/>
    <xf numFmtId="0" fontId="0" fillId="0" borderId="110" xfId="0" applyBorder="1"/>
    <xf numFmtId="166" fontId="0" fillId="18" borderId="48" xfId="0" applyNumberFormat="1" applyFill="1" applyBorder="1" applyAlignment="1">
      <alignment horizontal="right" vertical="top"/>
    </xf>
    <xf numFmtId="1" fontId="0" fillId="18" borderId="48" xfId="0" applyNumberFormat="1" applyFill="1" applyBorder="1" applyAlignment="1">
      <alignment horizontal="right" vertical="top"/>
    </xf>
    <xf numFmtId="0" fontId="3" fillId="2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15" fillId="10" borderId="1" xfId="0" applyFont="1" applyFill="1" applyBorder="1" applyAlignment="1">
      <alignment horizontal="center" vertical="center" textRotation="180"/>
    </xf>
    <xf numFmtId="0" fontId="16" fillId="0" borderId="1" xfId="0" applyFont="1" applyBorder="1" applyAlignment="1">
      <alignment horizontal="center" vertical="center" textRotation="180"/>
    </xf>
    <xf numFmtId="0" fontId="0" fillId="0" borderId="1" xfId="0" applyBorder="1" applyAlignment="1">
      <alignment horizontal="left" vertical="center" wrapText="1"/>
    </xf>
    <xf numFmtId="0" fontId="0" fillId="9" borderId="7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17" fillId="2" borderId="7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17" fillId="19" borderId="13" xfId="0" applyFont="1" applyFill="1" applyBorder="1" applyAlignment="1">
      <alignment horizontal="center"/>
    </xf>
    <xf numFmtId="0" fontId="0" fillId="0" borderId="5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/>
    </xf>
    <xf numFmtId="0" fontId="3" fillId="2" borderId="59" xfId="0" applyFont="1" applyFill="1" applyBorder="1" applyAlignment="1">
      <alignment horizontal="center"/>
    </xf>
    <xf numFmtId="0" fontId="0" fillId="0" borderId="47" xfId="0" applyBorder="1" applyAlignment="1">
      <alignment horizontal="center" vertical="center" wrapText="1"/>
    </xf>
    <xf numFmtId="0" fontId="0" fillId="14" borderId="45" xfId="0" applyFill="1" applyBorder="1" applyAlignment="1">
      <alignment horizontal="center" vertical="center" wrapText="1"/>
    </xf>
    <xf numFmtId="0" fontId="0" fillId="14" borderId="47" xfId="0" applyFill="1" applyBorder="1" applyAlignment="1">
      <alignment horizontal="center" vertical="center" wrapText="1"/>
    </xf>
    <xf numFmtId="0" fontId="0" fillId="14" borderId="54" xfId="0" applyFill="1" applyBorder="1" applyAlignment="1">
      <alignment horizontal="center" vertical="center" wrapText="1"/>
    </xf>
    <xf numFmtId="0" fontId="0" fillId="0" borderId="58" xfId="0" applyBorder="1" applyAlignment="1">
      <alignment horizontal="left"/>
    </xf>
    <xf numFmtId="0" fontId="0" fillId="0" borderId="50" xfId="0" applyBorder="1" applyAlignment="1">
      <alignment horizontal="left"/>
    </xf>
    <xf numFmtId="0" fontId="3" fillId="2" borderId="58" xfId="0" applyFont="1" applyFill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17" fillId="22" borderId="58" xfId="0" applyFont="1" applyFill="1" applyBorder="1" applyAlignment="1">
      <alignment horizontal="center"/>
    </xf>
    <xf numFmtId="0" fontId="17" fillId="22" borderId="50" xfId="0" applyFont="1" applyFill="1" applyBorder="1" applyAlignment="1">
      <alignment horizontal="center"/>
    </xf>
    <xf numFmtId="0" fontId="17" fillId="22" borderId="59" xfId="0" applyFont="1" applyFill="1" applyBorder="1" applyAlignment="1">
      <alignment horizontal="center"/>
    </xf>
    <xf numFmtId="0" fontId="35" fillId="20" borderId="35" xfId="0" applyFont="1" applyFill="1" applyBorder="1" applyAlignment="1">
      <alignment horizontal="center" vertical="center" wrapText="1"/>
    </xf>
    <xf numFmtId="0" fontId="35" fillId="20" borderId="36" xfId="0" applyFont="1" applyFill="1" applyBorder="1" applyAlignment="1">
      <alignment horizontal="center" vertical="center" wrapText="1"/>
    </xf>
    <xf numFmtId="0" fontId="35" fillId="20" borderId="37" xfId="0" applyFont="1" applyFill="1" applyBorder="1" applyAlignment="1">
      <alignment horizontal="center" vertical="center" wrapText="1"/>
    </xf>
  </cellXfs>
  <cellStyles count="5">
    <cellStyle name="Millares" xfId="1" builtinId="3"/>
    <cellStyle name="Moneda" xfId="2" builtinId="4"/>
    <cellStyle name="Normal" xfId="0" builtinId="0"/>
    <cellStyle name="Normal_Bloque_II.Trabajo en clase" xfId="4"/>
    <cellStyle name="Porcentaje" xfId="3" builtinId="5"/>
  </cellStyles>
  <dxfs count="0"/>
  <tableStyles count="0" defaultTableStyle="TableStyleMedium9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u="sng"/>
            </a:pPr>
            <a:r>
              <a:rPr lang="es-AR" u="sng"/>
              <a:t>Cadena</a:t>
            </a:r>
            <a:r>
              <a:rPr lang="es-AR" u="sng" baseline="0"/>
              <a:t> de Valor  (1 Tn Eucalipto)</a:t>
            </a:r>
            <a:endParaRPr lang="es-AR" u="sng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'Cadena de Valor'!$B$2</c:f>
              <c:strCache>
                <c:ptCount val="1"/>
                <c:pt idx="0">
                  <c:v>Valor Agregado(uS$/Tn)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'Cadena de Valor'!$A$3:$A$7</c:f>
              <c:strCache>
                <c:ptCount val="5"/>
                <c:pt idx="0">
                  <c:v>Monte en Pie</c:v>
                </c:pt>
                <c:pt idx="1">
                  <c:v>Madera en playa de monte sobre camión</c:v>
                </c:pt>
                <c:pt idx="2">
                  <c:v>Madera puesta en planta industrial</c:v>
                </c:pt>
                <c:pt idx="3">
                  <c:v>Madera procesada (tabla estandar)</c:v>
                </c:pt>
                <c:pt idx="4">
                  <c:v>Madera procesada (tabla seca)</c:v>
                </c:pt>
              </c:strCache>
            </c:strRef>
          </c:cat>
          <c:val>
            <c:numRef>
              <c:f>'Cadena de Valor'!$B$3:$B$7</c:f>
              <c:numCache>
                <c:formatCode>General</c:formatCode>
                <c:ptCount val="5"/>
                <c:pt idx="0">
                  <c:v>40</c:v>
                </c:pt>
                <c:pt idx="1">
                  <c:v>48</c:v>
                </c:pt>
                <c:pt idx="2">
                  <c:v>54</c:v>
                </c:pt>
                <c:pt idx="3" formatCode="0">
                  <c:v>197.86666666666667</c:v>
                </c:pt>
                <c:pt idx="4" formatCode="0">
                  <c:v>263.82222222222219</c:v>
                </c:pt>
              </c:numCache>
            </c:numRef>
          </c:val>
        </c:ser>
        <c:ser>
          <c:idx val="1"/>
          <c:order val="1"/>
          <c:tx>
            <c:strRef>
              <c:f>'Cadena de Valor'!$C$2</c:f>
              <c:strCache>
                <c:ptCount val="1"/>
                <c:pt idx="0">
                  <c:v>Acumulado 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'Cadena de Valor'!$C$3:$C$7</c:f>
              <c:numCache>
                <c:formatCode>General</c:formatCode>
                <c:ptCount val="5"/>
                <c:pt idx="0">
                  <c:v>40</c:v>
                </c:pt>
                <c:pt idx="1">
                  <c:v>88</c:v>
                </c:pt>
                <c:pt idx="2">
                  <c:v>142</c:v>
                </c:pt>
                <c:pt idx="3" formatCode="0">
                  <c:v>339.86666666666667</c:v>
                </c:pt>
                <c:pt idx="4" formatCode="0">
                  <c:v>603.68888888888887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783360"/>
        <c:axId val="136784896"/>
      </c:barChart>
      <c:catAx>
        <c:axId val="13678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6784896"/>
        <c:crosses val="autoZero"/>
        <c:auto val="1"/>
        <c:lblAlgn val="ctr"/>
        <c:lblOffset val="100"/>
        <c:noMultiLvlLbl val="0"/>
      </c:catAx>
      <c:valAx>
        <c:axId val="1367848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1367833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Prestamo!$D$8</c:f>
              <c:strCache>
                <c:ptCount val="1"/>
                <c:pt idx="0">
                  <c:v>Interes</c:v>
                </c:pt>
              </c:strCache>
            </c:strRef>
          </c:tx>
          <c:val>
            <c:numRef>
              <c:f>Prestamo!$G$8:$K$8</c:f>
              <c:numCache>
                <c:formatCode>_ * #,##0_ ;_ * \-#,##0_ ;_ * "-"??_ ;_ @_ </c:formatCode>
                <c:ptCount val="5"/>
                <c:pt idx="0">
                  <c:v>4500</c:v>
                </c:pt>
                <c:pt idx="1">
                  <c:v>3600</c:v>
                </c:pt>
                <c:pt idx="2">
                  <c:v>2700</c:v>
                </c:pt>
                <c:pt idx="3">
                  <c:v>1800</c:v>
                </c:pt>
                <c:pt idx="4">
                  <c:v>900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Prestamo!$D$9</c:f>
              <c:strCache>
                <c:ptCount val="1"/>
                <c:pt idx="0">
                  <c:v>Amort</c:v>
                </c:pt>
              </c:strCache>
            </c:strRef>
          </c:tx>
          <c:val>
            <c:numRef>
              <c:f>Prestamo!$G$9:$K$9</c:f>
              <c:numCache>
                <c:formatCode>_ * #,##0_ ;_ * \-#,##0_ ;_ * "-"??_ ;_ @_ </c:formatCode>
                <c:ptCount val="5"/>
                <c:pt idx="0">
                  <c:v>30000</c:v>
                </c:pt>
                <c:pt idx="1">
                  <c:v>30000</c:v>
                </c:pt>
                <c:pt idx="2">
                  <c:v>30000</c:v>
                </c:pt>
                <c:pt idx="3">
                  <c:v>30000</c:v>
                </c:pt>
                <c:pt idx="4">
                  <c:v>30000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Prestamo!$D$11</c:f>
              <c:strCache>
                <c:ptCount val="1"/>
                <c:pt idx="0">
                  <c:v>Cuota</c:v>
                </c:pt>
              </c:strCache>
            </c:strRef>
          </c:tx>
          <c:val>
            <c:numRef>
              <c:f>Prestamo!$G$11:$K$11</c:f>
              <c:numCache>
                <c:formatCode>_ * #,##0_ ;_ * \-#,##0_ ;_ * "-"??_ ;_ @_ </c:formatCode>
                <c:ptCount val="5"/>
                <c:pt idx="0">
                  <c:v>34500</c:v>
                </c:pt>
                <c:pt idx="1">
                  <c:v>33600</c:v>
                </c:pt>
                <c:pt idx="2">
                  <c:v>32700</c:v>
                </c:pt>
                <c:pt idx="3">
                  <c:v>31800</c:v>
                </c:pt>
                <c:pt idx="4">
                  <c:v>30900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615424"/>
        <c:axId val="138629504"/>
      </c:lineChart>
      <c:catAx>
        <c:axId val="138615424"/>
        <c:scaling>
          <c:orientation val="minMax"/>
        </c:scaling>
        <c:delete val="0"/>
        <c:axPos val="b"/>
        <c:majorTickMark val="out"/>
        <c:minorTickMark val="none"/>
        <c:tickLblPos val="nextTo"/>
        <c:crossAx val="138629504"/>
        <c:crosses val="autoZero"/>
        <c:auto val="1"/>
        <c:lblAlgn val="ctr"/>
        <c:lblOffset val="100"/>
        <c:noMultiLvlLbl val="0"/>
      </c:catAx>
      <c:valAx>
        <c:axId val="138629504"/>
        <c:scaling>
          <c:orientation val="minMax"/>
        </c:scaling>
        <c:delete val="0"/>
        <c:axPos val="l"/>
        <c:majorGridlines/>
        <c:numFmt formatCode="_ * #,##0_ ;_ * \-#,##0_ ;_ * &quot;-&quot;??_ ;_ @_ " sourceLinked="1"/>
        <c:majorTickMark val="out"/>
        <c:minorTickMark val="none"/>
        <c:tickLblPos val="nextTo"/>
        <c:crossAx val="1386154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TIR Vs</a:t>
            </a:r>
            <a:r>
              <a:rPr lang="en-US" baseline="0"/>
              <a:t> RENDIMIENTO</a:t>
            </a:r>
            <a:endParaRPr lang="en-US"/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1"/>
          <c:order val="0"/>
          <c:tx>
            <c:strRef>
              <c:f>SENSIBILIDAD!$B$2</c:f>
              <c:strCache>
                <c:ptCount val="1"/>
                <c:pt idx="0">
                  <c:v>TIR (%)</c:v>
                </c:pt>
              </c:strCache>
            </c:strRef>
          </c:tx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SENSIBILIDAD!$A$3:$A$7</c:f>
              <c:numCache>
                <c:formatCode>General</c:formatCode>
                <c:ptCount val="5"/>
                <c:pt idx="0">
                  <c:v>40</c:v>
                </c:pt>
                <c:pt idx="1">
                  <c:v>45</c:v>
                </c:pt>
                <c:pt idx="2">
                  <c:v>50</c:v>
                </c:pt>
                <c:pt idx="3">
                  <c:v>55</c:v>
                </c:pt>
                <c:pt idx="4">
                  <c:v>60</c:v>
                </c:pt>
              </c:numCache>
            </c:numRef>
          </c:cat>
          <c:val>
            <c:numRef>
              <c:f>SENSIBILIDAD!$B$3:$B$7</c:f>
              <c:numCache>
                <c:formatCode>General</c:formatCode>
                <c:ptCount val="5"/>
                <c:pt idx="0">
                  <c:v>-18</c:v>
                </c:pt>
                <c:pt idx="1">
                  <c:v>8</c:v>
                </c:pt>
                <c:pt idx="2">
                  <c:v>21</c:v>
                </c:pt>
                <c:pt idx="3">
                  <c:v>31</c:v>
                </c:pt>
                <c:pt idx="4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37196672"/>
        <c:axId val="137198592"/>
      </c:lineChart>
      <c:catAx>
        <c:axId val="137196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AR"/>
                  <a:t>Rendimiento (%)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37198592"/>
        <c:crosses val="autoZero"/>
        <c:auto val="1"/>
        <c:lblAlgn val="ctr"/>
        <c:lblOffset val="100"/>
        <c:noMultiLvlLbl val="0"/>
      </c:catAx>
      <c:valAx>
        <c:axId val="137198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TIR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137196672"/>
        <c:crossesAt val="1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TIR Vs Precio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SENSIBILIDAD!$B$24</c:f>
              <c:strCache>
                <c:ptCount val="1"/>
                <c:pt idx="0">
                  <c:v>TIR (%)</c:v>
                </c:pt>
              </c:strCache>
            </c:strRef>
          </c:tx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SENSIBILIDAD!$A$25:$A$32</c:f>
              <c:numCache>
                <c:formatCode>General</c:formatCode>
                <c:ptCount val="8"/>
                <c:pt idx="0">
                  <c:v>2</c:v>
                </c:pt>
                <c:pt idx="1">
                  <c:v>2.5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  <c:pt idx="5">
                  <c:v>4.5</c:v>
                </c:pt>
                <c:pt idx="6">
                  <c:v>5</c:v>
                </c:pt>
                <c:pt idx="7">
                  <c:v>5.5</c:v>
                </c:pt>
              </c:numCache>
            </c:numRef>
          </c:cat>
          <c:val>
            <c:numRef>
              <c:f>SENSIBILIDAD!$B$25:$B$32</c:f>
              <c:numCache>
                <c:formatCode>General</c:formatCode>
                <c:ptCount val="8"/>
                <c:pt idx="0">
                  <c:v>2</c:v>
                </c:pt>
                <c:pt idx="1">
                  <c:v>10</c:v>
                </c:pt>
                <c:pt idx="2">
                  <c:v>17</c:v>
                </c:pt>
                <c:pt idx="3">
                  <c:v>22</c:v>
                </c:pt>
                <c:pt idx="4">
                  <c:v>27</c:v>
                </c:pt>
                <c:pt idx="5">
                  <c:v>32</c:v>
                </c:pt>
                <c:pt idx="6">
                  <c:v>36</c:v>
                </c:pt>
                <c:pt idx="7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38254208"/>
        <c:axId val="138260480"/>
      </c:lineChart>
      <c:catAx>
        <c:axId val="138254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AR"/>
                  <a:t>Precio madera</a:t>
                </a:r>
                <a:r>
                  <a:rPr lang="es-AR" baseline="0"/>
                  <a:t> </a:t>
                </a:r>
                <a:r>
                  <a:rPr lang="es-AR"/>
                  <a:t>Ecalipto</a:t>
                </a:r>
                <a:r>
                  <a:rPr lang="es-AR" baseline="0"/>
                  <a:t> ($/p2)</a:t>
                </a:r>
                <a:endParaRPr lang="es-A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38260480"/>
        <c:crosses val="autoZero"/>
        <c:auto val="1"/>
        <c:lblAlgn val="ctr"/>
        <c:lblOffset val="100"/>
        <c:noMultiLvlLbl val="0"/>
      </c:catAx>
      <c:valAx>
        <c:axId val="138260480"/>
        <c:scaling>
          <c:orientation val="minMax"/>
          <c:max val="6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AR"/>
                  <a:t>TIR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8254208"/>
        <c:crosses val="autoZero"/>
        <c:crossBetween val="between"/>
        <c:majorUnit val="5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TIR Vs Costo</a:t>
            </a:r>
          </a:p>
        </c:rich>
      </c:tx>
      <c:layout/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SENSIBILIDAD!$B$44</c:f>
              <c:strCache>
                <c:ptCount val="1"/>
                <c:pt idx="0">
                  <c:v>TIR (%)</c:v>
                </c:pt>
              </c:strCache>
            </c:strRef>
          </c:tx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SENSIBILIDAD!$A$45:$A$50</c:f>
              <c:numCache>
                <c:formatCode>General</c:formatCode>
                <c:ptCount val="6"/>
                <c:pt idx="0">
                  <c:v>400</c:v>
                </c:pt>
                <c:pt idx="1">
                  <c:v>500</c:v>
                </c:pt>
                <c:pt idx="2">
                  <c:v>600</c:v>
                </c:pt>
                <c:pt idx="3">
                  <c:v>700</c:v>
                </c:pt>
                <c:pt idx="4">
                  <c:v>800</c:v>
                </c:pt>
                <c:pt idx="5">
                  <c:v>900</c:v>
                </c:pt>
              </c:numCache>
            </c:numRef>
          </c:cat>
          <c:val>
            <c:numRef>
              <c:f>SENSIBILIDAD!$B$45:$B$50</c:f>
              <c:numCache>
                <c:formatCode>General</c:formatCode>
                <c:ptCount val="6"/>
                <c:pt idx="0">
                  <c:v>53</c:v>
                </c:pt>
                <c:pt idx="1">
                  <c:v>44</c:v>
                </c:pt>
                <c:pt idx="2">
                  <c:v>35</c:v>
                </c:pt>
                <c:pt idx="3">
                  <c:v>27</c:v>
                </c:pt>
                <c:pt idx="4">
                  <c:v>18</c:v>
                </c:pt>
                <c:pt idx="5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38651136"/>
        <c:axId val="138653056"/>
      </c:lineChart>
      <c:catAx>
        <c:axId val="138651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AR"/>
                  <a:t>Costo</a:t>
                </a:r>
                <a:r>
                  <a:rPr lang="es-AR" baseline="0"/>
                  <a:t> Trozas</a:t>
                </a:r>
                <a:r>
                  <a:rPr lang="es-AR"/>
                  <a:t> Ecalipto</a:t>
                </a:r>
                <a:r>
                  <a:rPr lang="es-AR" baseline="0"/>
                  <a:t> ($/tn)</a:t>
                </a:r>
                <a:endParaRPr lang="es-A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38653056"/>
        <c:crosses val="autoZero"/>
        <c:auto val="1"/>
        <c:lblAlgn val="ctr"/>
        <c:lblOffset val="100"/>
        <c:noMultiLvlLbl val="0"/>
      </c:catAx>
      <c:valAx>
        <c:axId val="138653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AR"/>
                  <a:t>TIR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8651136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171450</xdr:rowOff>
    </xdr:from>
    <xdr:to>
      <xdr:col>13</xdr:col>
      <xdr:colOff>161925</xdr:colOff>
      <xdr:row>25</xdr:row>
      <xdr:rowOff>9525</xdr:rowOff>
    </xdr:to>
    <xdr:grpSp>
      <xdr:nvGrpSpPr>
        <xdr:cNvPr id="11265" name="8 Grupo"/>
        <xdr:cNvGrpSpPr>
          <a:grpSpLocks/>
        </xdr:cNvGrpSpPr>
      </xdr:nvGrpSpPr>
      <xdr:grpSpPr bwMode="auto">
        <a:xfrm>
          <a:off x="6124575" y="1000125"/>
          <a:ext cx="6419850" cy="4038600"/>
          <a:chOff x="5772150" y="1609725"/>
          <a:chExt cx="4572000" cy="2743200"/>
        </a:xfrm>
      </xdr:grpSpPr>
      <xdr:graphicFrame macro="">
        <xdr:nvGraphicFramePr>
          <xdr:cNvPr id="11266" name="2 Gráfico"/>
          <xdr:cNvGraphicFramePr>
            <a:graphicFrameLocks/>
          </xdr:cNvGraphicFramePr>
        </xdr:nvGraphicFramePr>
        <xdr:xfrm>
          <a:off x="5772150" y="1609725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6" name="5 Cerrar llave"/>
          <xdr:cNvSpPr/>
        </xdr:nvSpPr>
        <xdr:spPr>
          <a:xfrm rot="16200000">
            <a:off x="8239125" y="1371600"/>
            <a:ext cx="409575" cy="2409825"/>
          </a:xfrm>
          <a:prstGeom prst="rightBrace">
            <a:avLst>
              <a:gd name="adj1" fmla="val 0"/>
              <a:gd name="adj2" fmla="val 50000"/>
            </a:avLst>
          </a:prstGeom>
          <a:noFill/>
          <a:ln w="254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7" name="6 CuadroTexto"/>
          <xdr:cNvSpPr txBox="1"/>
        </xdr:nvSpPr>
        <xdr:spPr>
          <a:xfrm>
            <a:off x="7324725" y="2066925"/>
            <a:ext cx="2057400" cy="23812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s-AR" sz="1100" b="1"/>
              <a:t>1era Industrialización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14</xdr:row>
      <xdr:rowOff>9525</xdr:rowOff>
    </xdr:from>
    <xdr:to>
      <xdr:col>7</xdr:col>
      <xdr:colOff>449580</xdr:colOff>
      <xdr:row>22</xdr:row>
      <xdr:rowOff>34290</xdr:rowOff>
    </xdr:to>
    <xdr:pic>
      <xdr:nvPicPr>
        <xdr:cNvPr id="3" name="2 Imagen" descr="C:\Users\rl0011\Desktop\Roger\LUCAS ROGER\MBA\Tesis\PLAN DE NEGOCIO - ASERRADERO\08 Valuación &amp; Capitalización\TAsa (comparativa)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2695575"/>
          <a:ext cx="5612130" cy="154876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11</xdr:col>
      <xdr:colOff>561975</xdr:colOff>
      <xdr:row>3</xdr:row>
      <xdr:rowOff>190499</xdr:rowOff>
    </xdr:from>
    <xdr:to>
      <xdr:col>17</xdr:col>
      <xdr:colOff>561975</xdr:colOff>
      <xdr:row>17</xdr:row>
      <xdr:rowOff>66674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504824</xdr:colOff>
      <xdr:row>0</xdr:row>
      <xdr:rowOff>0</xdr:rowOff>
    </xdr:from>
    <xdr:to>
      <xdr:col>9</xdr:col>
      <xdr:colOff>466725</xdr:colOff>
      <xdr:row>12</xdr:row>
      <xdr:rowOff>42863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152399</xdr:colOff>
      <xdr:row>18</xdr:row>
      <xdr:rowOff>23812</xdr:rowOff>
    </xdr:from>
    <xdr:to>
      <xdr:col>10</xdr:col>
      <xdr:colOff>142874</xdr:colOff>
      <xdr:row>34</xdr:row>
      <xdr:rowOff>42862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19050</xdr:colOff>
      <xdr:row>40</xdr:row>
      <xdr:rowOff>9525</xdr:rowOff>
    </xdr:from>
    <xdr:to>
      <xdr:col>10</xdr:col>
      <xdr:colOff>9525</xdr:colOff>
      <xdr:row>54</xdr:row>
      <xdr:rowOff>19050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381000</xdr:colOff>
      <xdr:row>6</xdr:row>
      <xdr:rowOff>0</xdr:rowOff>
    </xdr:from>
    <xdr:to>
      <xdr:col>8</xdr:col>
      <xdr:colOff>276225</xdr:colOff>
      <xdr:row>6</xdr:row>
      <xdr:rowOff>0</xdr:rowOff>
    </xdr:to>
    <xdr:cxnSp macro="">
      <xdr:nvCxnSpPr>
        <xdr:cNvPr id="6" name="5 Conector recto"/>
        <xdr:cNvCxnSpPr/>
      </xdr:nvCxnSpPr>
      <xdr:spPr>
        <a:xfrm>
          <a:off x="6400800" y="1247775"/>
          <a:ext cx="2943225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0.10733</cdr:x>
      <cdr:y>0.67539</cdr:y>
    </cdr:from>
    <cdr:to>
      <cdr:x>0.66011</cdr:x>
      <cdr:y>0.67539</cdr:y>
    </cdr:to>
    <cdr:cxnSp macro="">
      <cdr:nvCxnSpPr>
        <cdr:cNvPr id="2" name="5 Conector recto"/>
        <cdr:cNvCxnSpPr/>
      </cdr:nvCxnSpPr>
      <cdr:spPr>
        <a:xfrm xmlns:a="http://schemas.openxmlformats.org/drawingml/2006/main">
          <a:off x="571500" y="2212975"/>
          <a:ext cx="2943225" cy="0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rgbClr val="FF0000"/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0.10912</cdr:x>
      <cdr:y>0.65227</cdr:y>
    </cdr:from>
    <cdr:to>
      <cdr:x>0.82111</cdr:x>
      <cdr:y>0.65781</cdr:y>
    </cdr:to>
    <cdr:cxnSp macro="">
      <cdr:nvCxnSpPr>
        <cdr:cNvPr id="2" name="5 Conector recto"/>
        <cdr:cNvCxnSpPr/>
      </cdr:nvCxnSpPr>
      <cdr:spPr>
        <a:xfrm xmlns:a="http://schemas.openxmlformats.org/drawingml/2006/main">
          <a:off x="581025" y="1870075"/>
          <a:ext cx="3790950" cy="15875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rgbClr val="FF0000"/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7"/>
  <sheetViews>
    <sheetView workbookViewId="0">
      <selection activeCell="B21" sqref="B21"/>
    </sheetView>
  </sheetViews>
  <sheetFormatPr baseColWidth="10" defaultColWidth="11.42578125" defaultRowHeight="15" x14ac:dyDescent="0.25"/>
  <cols>
    <col min="1" max="1" width="53.42578125" customWidth="1"/>
    <col min="4" max="4" width="37.5703125" bestFit="1" customWidth="1"/>
    <col min="5" max="6" width="23.7109375" customWidth="1"/>
  </cols>
  <sheetData>
    <row r="1" spans="1:6" ht="15.75" thickBot="1" x14ac:dyDescent="0.3"/>
    <row r="2" spans="1:6" ht="16.5" thickTop="1" thickBot="1" x14ac:dyDescent="0.3">
      <c r="A2" s="591" t="s">
        <v>134</v>
      </c>
      <c r="B2" s="592"/>
      <c r="D2" s="51" t="s">
        <v>31</v>
      </c>
      <c r="E2" s="7"/>
      <c r="F2" s="16"/>
    </row>
    <row r="3" spans="1:6" ht="16.5" thickTop="1" thickBot="1" x14ac:dyDescent="0.3">
      <c r="A3" s="1" t="s">
        <v>176</v>
      </c>
      <c r="B3" s="46">
        <v>9</v>
      </c>
      <c r="D3" s="15" t="s">
        <v>420</v>
      </c>
      <c r="E3" s="1">
        <v>424</v>
      </c>
    </row>
    <row r="4" spans="1:6" ht="16.5" thickTop="1" thickBot="1" x14ac:dyDescent="0.3">
      <c r="A4" s="1" t="s">
        <v>173</v>
      </c>
      <c r="B4" s="83">
        <v>25000</v>
      </c>
      <c r="C4">
        <f>+B4*E4</f>
        <v>22500</v>
      </c>
      <c r="D4" s="15" t="s">
        <v>419</v>
      </c>
      <c r="E4" s="1">
        <v>0.9</v>
      </c>
      <c r="F4" s="16"/>
    </row>
    <row r="5" spans="1:6" ht="16.5" thickTop="1" thickBot="1" x14ac:dyDescent="0.3">
      <c r="A5" s="1" t="s">
        <v>174</v>
      </c>
      <c r="B5" s="47">
        <f>+B4*B10</f>
        <v>12500</v>
      </c>
      <c r="D5" s="15" t="s">
        <v>144</v>
      </c>
      <c r="E5" s="1">
        <v>0.17</v>
      </c>
    </row>
    <row r="6" spans="1:6" ht="16.5" thickTop="1" thickBot="1" x14ac:dyDescent="0.3">
      <c r="A6" s="1" t="s">
        <v>175</v>
      </c>
      <c r="B6" s="47">
        <f>+B5/12</f>
        <v>1041.6666666666667</v>
      </c>
      <c r="D6" s="15" t="s">
        <v>145</v>
      </c>
      <c r="E6" s="1">
        <v>0.19500000000000001</v>
      </c>
      <c r="F6" s="16"/>
    </row>
    <row r="7" spans="1:6" ht="16.5" thickTop="1" thickBot="1" x14ac:dyDescent="0.3">
      <c r="A7" s="1" t="s">
        <v>181</v>
      </c>
      <c r="B7" s="47">
        <f>+B4*0.35</f>
        <v>8750</v>
      </c>
      <c r="D7" s="70"/>
      <c r="E7" s="16"/>
    </row>
    <row r="8" spans="1:6" ht="16.5" thickTop="1" thickBot="1" x14ac:dyDescent="0.3">
      <c r="A8" s="1" t="s">
        <v>182</v>
      </c>
      <c r="B8" s="47">
        <f>+B4*(1-B10-0.35)</f>
        <v>3750.0000000000005</v>
      </c>
    </row>
    <row r="9" spans="1:6" ht="16.5" thickTop="1" thickBot="1" x14ac:dyDescent="0.3">
      <c r="A9" s="1" t="s">
        <v>109</v>
      </c>
      <c r="B9" s="1">
        <v>4</v>
      </c>
      <c r="D9" s="39" t="s">
        <v>74</v>
      </c>
      <c r="E9" s="39">
        <v>365</v>
      </c>
    </row>
    <row r="10" spans="1:6" ht="16.5" thickTop="1" thickBot="1" x14ac:dyDescent="0.3">
      <c r="A10" s="1" t="s">
        <v>30</v>
      </c>
      <c r="B10" s="82">
        <v>0.5</v>
      </c>
      <c r="D10" s="1" t="s">
        <v>75</v>
      </c>
      <c r="E10" s="1">
        <v>14</v>
      </c>
      <c r="F10" s="16"/>
    </row>
    <row r="11" spans="1:6" ht="16.5" thickTop="1" thickBot="1" x14ac:dyDescent="0.3">
      <c r="A11" s="1" t="s">
        <v>139</v>
      </c>
      <c r="B11" s="1">
        <v>3700</v>
      </c>
      <c r="D11" s="1" t="s">
        <v>76</v>
      </c>
      <c r="E11" s="1">
        <v>100</v>
      </c>
      <c r="F11" s="16"/>
    </row>
    <row r="12" spans="1:6" ht="16.5" thickTop="1" thickBot="1" x14ac:dyDescent="0.3">
      <c r="A12" s="591" t="s">
        <v>265</v>
      </c>
      <c r="B12" s="592"/>
      <c r="D12" s="1" t="s">
        <v>77</v>
      </c>
      <c r="E12" s="1">
        <v>17</v>
      </c>
    </row>
    <row r="13" spans="1:6" ht="16.5" thickTop="1" thickBot="1" x14ac:dyDescent="0.3">
      <c r="A13" s="1" t="s">
        <v>288</v>
      </c>
      <c r="B13" s="64">
        <f>+B14*E4</f>
        <v>486</v>
      </c>
      <c r="D13" s="39" t="s">
        <v>78</v>
      </c>
      <c r="E13" s="39">
        <f>+SUM(E10:E12)</f>
        <v>131</v>
      </c>
    </row>
    <row r="14" spans="1:6" ht="16.5" thickTop="1" thickBot="1" x14ac:dyDescent="0.3">
      <c r="A14" s="1" t="s">
        <v>153</v>
      </c>
      <c r="B14" s="80">
        <v>540</v>
      </c>
      <c r="D14" s="40" t="s">
        <v>79</v>
      </c>
      <c r="E14" s="40">
        <f>+E9-E13</f>
        <v>234</v>
      </c>
      <c r="F14" s="16"/>
    </row>
    <row r="15" spans="1:6" ht="16.5" thickTop="1" thickBot="1" x14ac:dyDescent="0.3">
      <c r="A15" s="1" t="s">
        <v>142</v>
      </c>
      <c r="B15" s="46">
        <f>+B13*E4</f>
        <v>437.40000000000003</v>
      </c>
      <c r="F15" s="16"/>
    </row>
    <row r="16" spans="1:6" ht="16.5" thickTop="1" thickBot="1" x14ac:dyDescent="0.3">
      <c r="A16" s="591" t="s">
        <v>266</v>
      </c>
      <c r="B16" s="592"/>
      <c r="D16" s="593" t="s">
        <v>246</v>
      </c>
      <c r="E16" s="594"/>
    </row>
    <row r="17" spans="1:6" ht="16.5" thickTop="1" thickBot="1" x14ac:dyDescent="0.3">
      <c r="A17" s="1" t="s">
        <v>249</v>
      </c>
      <c r="B17" s="80">
        <v>4.2</v>
      </c>
      <c r="D17" s="8" t="s">
        <v>248</v>
      </c>
      <c r="E17" s="8">
        <v>9</v>
      </c>
      <c r="F17" s="16"/>
    </row>
    <row r="18" spans="1:6" ht="16.5" thickTop="1" thickBot="1" x14ac:dyDescent="0.3">
      <c r="A18" s="1" t="s">
        <v>140</v>
      </c>
      <c r="B18" s="25">
        <f>+B17*E3</f>
        <v>1780.8000000000002</v>
      </c>
      <c r="D18" s="112" t="s">
        <v>247</v>
      </c>
      <c r="E18" s="112">
        <v>1</v>
      </c>
      <c r="F18" s="16"/>
    </row>
    <row r="19" spans="1:6" ht="16.5" thickTop="1" thickBot="1" x14ac:dyDescent="0.3">
      <c r="A19" s="1" t="s">
        <v>141</v>
      </c>
      <c r="B19" s="64">
        <f>+B18/B3</f>
        <v>197.86666666666667</v>
      </c>
      <c r="D19" s="8" t="s">
        <v>137</v>
      </c>
      <c r="E19" s="8">
        <f>+E14</f>
        <v>234</v>
      </c>
    </row>
    <row r="20" spans="1:6" ht="16.5" thickTop="1" thickBot="1" x14ac:dyDescent="0.3">
      <c r="A20" s="1" t="s">
        <v>253</v>
      </c>
      <c r="B20" s="80">
        <f>192*E6</f>
        <v>37.44</v>
      </c>
      <c r="D20" s="8" t="s">
        <v>19</v>
      </c>
      <c r="E20" s="9">
        <v>0.7</v>
      </c>
    </row>
    <row r="21" spans="1:6" ht="16.5" thickTop="1" thickBot="1" x14ac:dyDescent="0.3">
      <c r="A21" s="1" t="s">
        <v>250</v>
      </c>
      <c r="B21" s="113">
        <f>132*E5</f>
        <v>22.44</v>
      </c>
      <c r="D21" s="8" t="s">
        <v>18</v>
      </c>
      <c r="E21" s="8">
        <f>+E17*E19</f>
        <v>2106</v>
      </c>
    </row>
    <row r="22" spans="1:6" ht="16.5" thickTop="1" thickBot="1" x14ac:dyDescent="0.3">
      <c r="A22" s="591" t="s">
        <v>128</v>
      </c>
      <c r="B22" s="592"/>
      <c r="D22" s="8" t="s">
        <v>20</v>
      </c>
      <c r="E22" s="10">
        <f>+E21*E20</f>
        <v>1474.1999999999998</v>
      </c>
    </row>
    <row r="23" spans="1:6" ht="16.5" thickTop="1" thickBot="1" x14ac:dyDescent="0.3">
      <c r="A23" s="66" t="s">
        <v>129</v>
      </c>
      <c r="B23" s="1">
        <v>26</v>
      </c>
    </row>
    <row r="24" spans="1:6" ht="16.5" thickTop="1" thickBot="1" x14ac:dyDescent="0.3">
      <c r="A24" s="66" t="s">
        <v>130</v>
      </c>
      <c r="B24" s="1">
        <v>3</v>
      </c>
    </row>
    <row r="25" spans="1:6" ht="16.5" thickTop="1" thickBot="1" x14ac:dyDescent="0.3">
      <c r="A25" s="66" t="s">
        <v>131</v>
      </c>
      <c r="B25" s="1">
        <v>2</v>
      </c>
    </row>
    <row r="26" spans="1:6" ht="16.5" thickTop="1" thickBot="1" x14ac:dyDescent="0.3">
      <c r="A26" s="66" t="s">
        <v>132</v>
      </c>
      <c r="B26" s="1">
        <v>50</v>
      </c>
    </row>
    <row r="27" spans="1:6" ht="16.5" thickTop="1" thickBot="1" x14ac:dyDescent="0.3">
      <c r="A27" s="66" t="s">
        <v>133</v>
      </c>
      <c r="B27" s="1">
        <v>500</v>
      </c>
    </row>
    <row r="28" spans="1:6" ht="19.5" thickTop="1" thickBot="1" x14ac:dyDescent="0.3">
      <c r="A28" s="66" t="s">
        <v>136</v>
      </c>
      <c r="B28" s="1">
        <v>4</v>
      </c>
      <c r="D28" s="69" t="s">
        <v>143</v>
      </c>
    </row>
    <row r="29" spans="1:6" ht="17.25" thickTop="1" thickBot="1" x14ac:dyDescent="0.3">
      <c r="A29" s="591" t="s">
        <v>267</v>
      </c>
      <c r="B29" s="592"/>
      <c r="D29" s="69"/>
    </row>
    <row r="30" spans="1:6" ht="17.25" thickTop="1" thickBot="1" x14ac:dyDescent="0.3">
      <c r="A30" s="1" t="s">
        <v>268</v>
      </c>
      <c r="B30" s="85">
        <v>0.5</v>
      </c>
      <c r="D30" s="69"/>
    </row>
    <row r="31" spans="1:6" ht="17.25" thickTop="1" thickBot="1" x14ac:dyDescent="0.3">
      <c r="A31" s="1" t="s">
        <v>269</v>
      </c>
      <c r="B31" s="25">
        <v>50</v>
      </c>
      <c r="D31" s="69"/>
    </row>
    <row r="32" spans="1:6" ht="16.5" thickTop="1" thickBot="1" x14ac:dyDescent="0.3">
      <c r="A32" s="1"/>
      <c r="B32" s="46"/>
    </row>
    <row r="33" spans="1:1" ht="15.75" thickTop="1" x14ac:dyDescent="0.25">
      <c r="A33" s="84" t="s">
        <v>255</v>
      </c>
    </row>
    <row r="34" spans="1:1" x14ac:dyDescent="0.25">
      <c r="A34" t="s">
        <v>264</v>
      </c>
    </row>
    <row r="35" spans="1:1" x14ac:dyDescent="0.25">
      <c r="A35" t="s">
        <v>251</v>
      </c>
    </row>
    <row r="36" spans="1:1" x14ac:dyDescent="0.25">
      <c r="A36" t="s">
        <v>252</v>
      </c>
    </row>
    <row r="37" spans="1:1" x14ac:dyDescent="0.25">
      <c r="A37" t="s">
        <v>254</v>
      </c>
    </row>
  </sheetData>
  <mergeCells count="6">
    <mergeCell ref="A29:B29"/>
    <mergeCell ref="A2:B2"/>
    <mergeCell ref="D16:E16"/>
    <mergeCell ref="A22:B22"/>
    <mergeCell ref="A12:B12"/>
    <mergeCell ref="A16:B16"/>
  </mergeCells>
  <phoneticPr fontId="9" type="noConversion"/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2"/>
  <sheetViews>
    <sheetView tabSelected="1" zoomScale="90" zoomScaleNormal="90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E53" sqref="E53"/>
    </sheetView>
  </sheetViews>
  <sheetFormatPr baseColWidth="10" defaultRowHeight="15" outlineLevelRow="2" x14ac:dyDescent="0.25"/>
  <cols>
    <col min="1" max="1" width="10.42578125" customWidth="1"/>
    <col min="2" max="2" width="47.7109375" customWidth="1"/>
    <col min="3" max="3" width="10.5703125" style="6" customWidth="1"/>
    <col min="4" max="4" width="12.5703125" style="6" bestFit="1" customWidth="1"/>
    <col min="5" max="5" width="16.7109375" style="6" customWidth="1"/>
    <col min="6" max="14" width="11.7109375" style="6" customWidth="1"/>
    <col min="15" max="15" width="11.42578125" style="6"/>
    <col min="16" max="16" width="18.7109375" customWidth="1"/>
  </cols>
  <sheetData>
    <row r="1" spans="1:17" x14ac:dyDescent="0.25">
      <c r="A1" s="212"/>
      <c r="B1" s="213"/>
      <c r="C1" s="214"/>
      <c r="D1" s="214">
        <v>0</v>
      </c>
      <c r="E1" s="214">
        <v>1</v>
      </c>
      <c r="F1" s="214">
        <v>2</v>
      </c>
      <c r="G1" s="214">
        <v>3</v>
      </c>
      <c r="H1" s="214">
        <v>4</v>
      </c>
      <c r="I1" s="214">
        <v>5</v>
      </c>
      <c r="J1" s="214">
        <v>6</v>
      </c>
      <c r="K1" s="214">
        <v>7</v>
      </c>
      <c r="L1" s="214">
        <v>8</v>
      </c>
      <c r="M1" s="214">
        <v>9</v>
      </c>
      <c r="N1" s="215">
        <v>10</v>
      </c>
    </row>
    <row r="2" spans="1:17" x14ac:dyDescent="0.25">
      <c r="A2" s="216"/>
      <c r="B2" s="217"/>
      <c r="C2" s="218" t="s">
        <v>41</v>
      </c>
      <c r="D2" s="218" t="s">
        <v>278</v>
      </c>
      <c r="E2" s="218" t="s">
        <v>279</v>
      </c>
      <c r="F2" s="218" t="s">
        <v>183</v>
      </c>
      <c r="G2" s="218" t="s">
        <v>184</v>
      </c>
      <c r="H2" s="218" t="s">
        <v>185</v>
      </c>
      <c r="I2" s="218" t="s">
        <v>186</v>
      </c>
      <c r="J2" s="218" t="s">
        <v>187</v>
      </c>
      <c r="K2" s="218" t="s">
        <v>188</v>
      </c>
      <c r="L2" s="218" t="s">
        <v>189</v>
      </c>
      <c r="M2" s="218" t="s">
        <v>190</v>
      </c>
      <c r="N2" s="219" t="s">
        <v>191</v>
      </c>
    </row>
    <row r="3" spans="1:17" x14ac:dyDescent="0.25">
      <c r="A3" s="220"/>
      <c r="B3" s="221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3"/>
    </row>
    <row r="4" spans="1:17" ht="18.75" x14ac:dyDescent="0.3">
      <c r="A4" s="224"/>
      <c r="B4" s="225" t="s">
        <v>453</v>
      </c>
      <c r="C4" s="226"/>
      <c r="D4" s="226"/>
      <c r="E4" s="227"/>
      <c r="F4" s="227"/>
      <c r="G4" s="227"/>
      <c r="H4" s="227"/>
      <c r="I4" s="227"/>
      <c r="J4" s="227"/>
      <c r="K4" s="227"/>
      <c r="L4" s="227"/>
      <c r="M4" s="227"/>
      <c r="N4" s="228"/>
    </row>
    <row r="5" spans="1:17" ht="16.5" hidden="1" outlineLevel="1" thickTop="1" thickBot="1" x14ac:dyDescent="0.3">
      <c r="A5" s="367"/>
      <c r="B5" s="619" t="s">
        <v>458</v>
      </c>
      <c r="C5" s="620"/>
      <c r="D5" s="373"/>
      <c r="E5" s="627" t="s">
        <v>246</v>
      </c>
      <c r="F5" s="628"/>
      <c r="G5" s="373"/>
      <c r="H5" s="378" t="s">
        <v>418</v>
      </c>
      <c r="I5" s="379">
        <v>365</v>
      </c>
      <c r="J5" s="373"/>
      <c r="K5" s="629" t="s">
        <v>128</v>
      </c>
      <c r="L5" s="630"/>
      <c r="M5" s="630"/>
      <c r="N5" s="631"/>
      <c r="P5" s="155" t="s">
        <v>420</v>
      </c>
      <c r="Q5" s="189">
        <v>424</v>
      </c>
    </row>
    <row r="6" spans="1:17" ht="16.5" hidden="1" customHeight="1" outlineLevel="1" thickTop="1" thickBot="1" x14ac:dyDescent="0.3">
      <c r="A6" s="368"/>
      <c r="B6" s="370" t="s">
        <v>436</v>
      </c>
      <c r="C6" s="371">
        <f>+C7*Q6</f>
        <v>531</v>
      </c>
      <c r="D6" s="373"/>
      <c r="E6" s="374" t="s">
        <v>248</v>
      </c>
      <c r="F6" s="375">
        <v>9</v>
      </c>
      <c r="G6" s="373"/>
      <c r="H6" s="378" t="s">
        <v>75</v>
      </c>
      <c r="I6" s="379">
        <v>14</v>
      </c>
      <c r="J6" s="373"/>
      <c r="K6" s="625" t="s">
        <v>129</v>
      </c>
      <c r="L6" s="626"/>
      <c r="M6" s="626"/>
      <c r="N6" s="381">
        <v>26</v>
      </c>
      <c r="P6" s="155" t="s">
        <v>421</v>
      </c>
      <c r="Q6" s="189">
        <v>0.9</v>
      </c>
    </row>
    <row r="7" spans="1:17" ht="16.5" hidden="1" customHeight="1" outlineLevel="1" thickTop="1" thickBot="1" x14ac:dyDescent="0.3">
      <c r="A7" s="368"/>
      <c r="B7" s="370" t="s">
        <v>437</v>
      </c>
      <c r="C7" s="372">
        <v>590</v>
      </c>
      <c r="D7" s="373"/>
      <c r="E7" s="374" t="s">
        <v>247</v>
      </c>
      <c r="F7" s="375">
        <v>1</v>
      </c>
      <c r="G7" s="373"/>
      <c r="H7" s="378" t="s">
        <v>76</v>
      </c>
      <c r="I7" s="379">
        <v>100</v>
      </c>
      <c r="J7" s="373"/>
      <c r="K7" s="625" t="s">
        <v>130</v>
      </c>
      <c r="L7" s="626">
        <v>3</v>
      </c>
      <c r="M7" s="626"/>
      <c r="N7" s="381">
        <v>3</v>
      </c>
      <c r="P7" s="155" t="s">
        <v>422</v>
      </c>
      <c r="Q7" s="189">
        <v>0.19</v>
      </c>
    </row>
    <row r="8" spans="1:17" ht="16.5" hidden="1" customHeight="1" outlineLevel="1" thickTop="1" thickBot="1" x14ac:dyDescent="0.3">
      <c r="A8" s="368"/>
      <c r="B8" s="370" t="s">
        <v>428</v>
      </c>
      <c r="C8" s="371">
        <f>+C6/D47</f>
        <v>53.1</v>
      </c>
      <c r="D8" s="373"/>
      <c r="E8" s="374" t="s">
        <v>137</v>
      </c>
      <c r="F8" s="375">
        <v>240</v>
      </c>
      <c r="G8" s="373"/>
      <c r="H8" s="378" t="s">
        <v>77</v>
      </c>
      <c r="I8" s="379">
        <v>17</v>
      </c>
      <c r="J8" s="373"/>
      <c r="K8" s="625" t="s">
        <v>131</v>
      </c>
      <c r="L8" s="626">
        <v>2</v>
      </c>
      <c r="M8" s="626"/>
      <c r="N8" s="381">
        <v>2</v>
      </c>
      <c r="P8" s="155" t="s">
        <v>423</v>
      </c>
      <c r="Q8" s="189">
        <v>0.19500000000000001</v>
      </c>
    </row>
    <row r="9" spans="1:17" ht="16.5" hidden="1" customHeight="1" outlineLevel="1" thickTop="1" thickBot="1" x14ac:dyDescent="0.3">
      <c r="A9" s="368"/>
      <c r="B9" s="619" t="s">
        <v>459</v>
      </c>
      <c r="C9" s="620"/>
      <c r="D9" s="373"/>
      <c r="E9" s="374" t="s">
        <v>19</v>
      </c>
      <c r="F9" s="376">
        <v>0.7</v>
      </c>
      <c r="G9" s="373"/>
      <c r="H9" s="378" t="s">
        <v>78</v>
      </c>
      <c r="I9" s="379">
        <v>131</v>
      </c>
      <c r="J9" s="373"/>
      <c r="K9" s="625" t="s">
        <v>132</v>
      </c>
      <c r="L9" s="626">
        <v>50</v>
      </c>
      <c r="M9" s="626"/>
      <c r="N9" s="381">
        <v>50</v>
      </c>
    </row>
    <row r="10" spans="1:17" ht="16.5" hidden="1" customHeight="1" outlineLevel="1" thickTop="1" thickBot="1" x14ac:dyDescent="0.3">
      <c r="A10" s="368"/>
      <c r="B10" s="370" t="s">
        <v>429</v>
      </c>
      <c r="C10" s="418">
        <v>4.9800000000000004</v>
      </c>
      <c r="D10" s="373"/>
      <c r="E10" s="374" t="s">
        <v>18</v>
      </c>
      <c r="F10" s="375">
        <f>+F6*F8</f>
        <v>2160</v>
      </c>
      <c r="G10" s="373"/>
      <c r="H10" s="378" t="s">
        <v>79</v>
      </c>
      <c r="I10" s="379">
        <v>234</v>
      </c>
      <c r="J10" s="373"/>
      <c r="K10" s="625" t="s">
        <v>133</v>
      </c>
      <c r="L10" s="626">
        <v>500</v>
      </c>
      <c r="M10" s="626"/>
      <c r="N10" s="381">
        <v>500</v>
      </c>
    </row>
    <row r="11" spans="1:17" s="6" customFormat="1" ht="16.5" hidden="1" customHeight="1" outlineLevel="1" thickTop="1" thickBot="1" x14ac:dyDescent="0.3">
      <c r="A11" s="368"/>
      <c r="B11" s="370" t="s">
        <v>495</v>
      </c>
      <c r="C11" s="504">
        <v>5.16</v>
      </c>
      <c r="D11" s="373"/>
      <c r="E11" s="374" t="s">
        <v>20</v>
      </c>
      <c r="F11" s="377">
        <f>+F10*F9</f>
        <v>1512</v>
      </c>
      <c r="G11" s="369"/>
      <c r="H11" s="229"/>
      <c r="I11" s="229"/>
      <c r="J11" s="380"/>
      <c r="K11" s="625" t="s">
        <v>136</v>
      </c>
      <c r="L11" s="626">
        <v>4</v>
      </c>
      <c r="M11" s="626"/>
      <c r="N11" s="381">
        <v>4</v>
      </c>
      <c r="P11"/>
      <c r="Q11"/>
    </row>
    <row r="12" spans="1:17" s="6" customFormat="1" ht="16.5" hidden="1" customHeight="1" outlineLevel="1" thickTop="1" thickBot="1" x14ac:dyDescent="0.3">
      <c r="A12" s="368"/>
      <c r="B12" s="370" t="s">
        <v>496</v>
      </c>
      <c r="C12" s="418">
        <v>5.16</v>
      </c>
      <c r="D12" s="369"/>
      <c r="E12" s="231"/>
      <c r="F12" s="232"/>
      <c r="G12" s="229"/>
      <c r="H12" s="229"/>
      <c r="I12" s="229"/>
      <c r="J12" s="229"/>
      <c r="K12" s="233"/>
      <c r="L12" s="233"/>
      <c r="M12" s="233"/>
      <c r="N12" s="234"/>
      <c r="P12"/>
      <c r="Q12"/>
    </row>
    <row r="13" spans="1:17" s="6" customFormat="1" ht="16.5" hidden="1" customHeight="1" outlineLevel="1" thickTop="1" thickBot="1" x14ac:dyDescent="0.3">
      <c r="A13" s="368"/>
      <c r="B13" s="370" t="s">
        <v>430</v>
      </c>
      <c r="C13" s="418">
        <v>6.15</v>
      </c>
      <c r="D13" s="369"/>
      <c r="E13" s="231"/>
      <c r="F13" s="232"/>
      <c r="G13" s="229"/>
      <c r="H13" s="229"/>
      <c r="I13" s="229"/>
      <c r="J13" s="229"/>
      <c r="K13" s="233"/>
      <c r="L13" s="233"/>
      <c r="M13" s="233"/>
      <c r="N13" s="234"/>
      <c r="P13"/>
      <c r="Q13"/>
    </row>
    <row r="14" spans="1:17" s="6" customFormat="1" ht="16.5" hidden="1" customHeight="1" outlineLevel="1" thickTop="1" thickBot="1" x14ac:dyDescent="0.3">
      <c r="A14" s="368"/>
      <c r="B14" s="370" t="s">
        <v>431</v>
      </c>
      <c r="C14" s="418">
        <v>7.4</v>
      </c>
      <c r="D14" s="369"/>
      <c r="E14" s="231"/>
      <c r="F14" s="232"/>
      <c r="G14" s="229"/>
      <c r="H14" s="229"/>
      <c r="I14" s="229"/>
      <c r="J14" s="229"/>
      <c r="K14" s="233"/>
      <c r="L14" s="233"/>
      <c r="M14" s="233"/>
      <c r="N14" s="234"/>
      <c r="P14"/>
      <c r="Q14"/>
    </row>
    <row r="15" spans="1:17" s="6" customFormat="1" ht="16.5" hidden="1" customHeight="1" outlineLevel="1" thickTop="1" thickBot="1" x14ac:dyDescent="0.3">
      <c r="A15" s="368"/>
      <c r="B15" s="370" t="s">
        <v>434</v>
      </c>
      <c r="C15" s="418">
        <f>210*Q8</f>
        <v>40.950000000000003</v>
      </c>
      <c r="D15" s="369"/>
      <c r="E15" s="231"/>
      <c r="F15" s="232"/>
      <c r="G15" s="229"/>
      <c r="H15" s="229"/>
      <c r="I15" s="229"/>
      <c r="J15" s="229"/>
      <c r="K15" s="233"/>
      <c r="L15" s="233"/>
      <c r="M15" s="233"/>
      <c r="N15" s="234"/>
      <c r="P15"/>
      <c r="Q15"/>
    </row>
    <row r="16" spans="1:17" s="6" customFormat="1" ht="16.5" hidden="1" customHeight="1" outlineLevel="1" thickTop="1" thickBot="1" x14ac:dyDescent="0.3">
      <c r="A16" s="368"/>
      <c r="B16" s="370" t="s">
        <v>435</v>
      </c>
      <c r="C16" s="418">
        <f>145*Q7</f>
        <v>27.55</v>
      </c>
      <c r="D16" s="369"/>
      <c r="E16" s="231"/>
      <c r="F16" s="232"/>
      <c r="G16" s="229"/>
      <c r="H16" s="229"/>
      <c r="I16" s="229"/>
      <c r="J16" s="229"/>
      <c r="K16" s="233"/>
      <c r="L16" s="233"/>
      <c r="M16" s="233"/>
      <c r="N16" s="234"/>
      <c r="P16"/>
      <c r="Q16"/>
    </row>
    <row r="17" spans="1:17" s="6" customFormat="1" ht="16.5" hidden="1" customHeight="1" outlineLevel="1" thickTop="1" thickBot="1" x14ac:dyDescent="0.3">
      <c r="A17" s="368"/>
      <c r="B17" s="619" t="s">
        <v>460</v>
      </c>
      <c r="C17" s="620"/>
      <c r="D17" s="369"/>
      <c r="E17" s="231"/>
      <c r="F17" s="232"/>
      <c r="G17" s="229"/>
      <c r="H17" s="229"/>
      <c r="I17" s="229"/>
      <c r="J17" s="229"/>
      <c r="K17" s="233"/>
      <c r="L17" s="233"/>
      <c r="M17" s="233"/>
      <c r="N17" s="234"/>
      <c r="P17"/>
      <c r="Q17"/>
    </row>
    <row r="18" spans="1:17" s="6" customFormat="1" ht="16.5" hidden="1" customHeight="1" outlineLevel="1" thickTop="1" thickBot="1" x14ac:dyDescent="0.3">
      <c r="A18" s="230"/>
      <c r="B18" s="370" t="s">
        <v>461</v>
      </c>
      <c r="C18" s="371">
        <v>3600</v>
      </c>
      <c r="D18" s="229"/>
      <c r="E18" s="231"/>
      <c r="F18" s="232"/>
      <c r="G18" s="229"/>
      <c r="H18" s="229"/>
      <c r="I18" s="229"/>
      <c r="J18" s="229"/>
      <c r="K18" s="233"/>
      <c r="L18" s="233"/>
      <c r="M18" s="233"/>
      <c r="N18" s="234"/>
      <c r="P18"/>
      <c r="Q18"/>
    </row>
    <row r="19" spans="1:17" s="6" customFormat="1" ht="16.5" hidden="1" customHeight="1" outlineLevel="1" thickTop="1" x14ac:dyDescent="0.25">
      <c r="A19" s="230"/>
      <c r="B19" s="233" t="s">
        <v>281</v>
      </c>
      <c r="C19" s="229"/>
      <c r="D19" s="229"/>
      <c r="E19" s="231"/>
      <c r="F19" s="232"/>
      <c r="G19" s="229"/>
      <c r="H19" s="229"/>
      <c r="I19" s="229"/>
      <c r="J19" s="229"/>
      <c r="K19" s="233"/>
      <c r="L19" s="233"/>
      <c r="M19" s="233"/>
      <c r="N19" s="234"/>
      <c r="P19"/>
      <c r="Q19"/>
    </row>
    <row r="20" spans="1:17" s="6" customFormat="1" collapsed="1" x14ac:dyDescent="0.25">
      <c r="A20" s="230"/>
      <c r="B20" s="235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36"/>
      <c r="P20"/>
      <c r="Q20"/>
    </row>
    <row r="21" spans="1:17" s="6" customFormat="1" ht="18.75" x14ac:dyDescent="0.3">
      <c r="A21" s="237" t="s">
        <v>609</v>
      </c>
      <c r="B21" s="225" t="s">
        <v>424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9"/>
      <c r="P21"/>
      <c r="Q21"/>
    </row>
    <row r="22" spans="1:17" s="6" customFormat="1" ht="16.5" hidden="1" customHeight="1" outlineLevel="1" x14ac:dyDescent="0.25">
      <c r="A22" s="224"/>
      <c r="B22" s="238"/>
      <c r="C22" s="218"/>
      <c r="D22" s="218" t="s">
        <v>278</v>
      </c>
      <c r="E22" s="218" t="s">
        <v>279</v>
      </c>
      <c r="F22" s="218" t="s">
        <v>183</v>
      </c>
      <c r="G22" s="218" t="s">
        <v>184</v>
      </c>
      <c r="H22" s="218" t="s">
        <v>185</v>
      </c>
      <c r="I22" s="218" t="s">
        <v>186</v>
      </c>
      <c r="J22" s="218" t="s">
        <v>187</v>
      </c>
      <c r="K22" s="218" t="s">
        <v>188</v>
      </c>
      <c r="L22" s="218" t="s">
        <v>189</v>
      </c>
      <c r="M22" s="218" t="s">
        <v>190</v>
      </c>
      <c r="N22" s="219" t="s">
        <v>191</v>
      </c>
      <c r="P22"/>
      <c r="Q22"/>
    </row>
    <row r="23" spans="1:17" s="6" customFormat="1" hidden="1" outlineLevel="1" x14ac:dyDescent="0.25">
      <c r="A23" s="230"/>
      <c r="B23" s="235" t="s">
        <v>489</v>
      </c>
      <c r="C23" s="239" t="s">
        <v>488</v>
      </c>
      <c r="D23" s="239"/>
      <c r="E23" s="240">
        <v>25000</v>
      </c>
      <c r="F23" s="240">
        <v>25000</v>
      </c>
      <c r="G23" s="240">
        <v>25000</v>
      </c>
      <c r="H23" s="240">
        <v>25000</v>
      </c>
      <c r="I23" s="240">
        <v>25000</v>
      </c>
      <c r="J23" s="240">
        <v>25000</v>
      </c>
      <c r="K23" s="240">
        <v>25000</v>
      </c>
      <c r="L23" s="240">
        <v>25000</v>
      </c>
      <c r="M23" s="240">
        <v>25000</v>
      </c>
      <c r="N23" s="241">
        <v>25000</v>
      </c>
      <c r="P23"/>
    </row>
    <row r="24" spans="1:17" s="6" customFormat="1" hidden="1" outlineLevel="1" x14ac:dyDescent="0.25">
      <c r="A24" s="230"/>
      <c r="B24" s="235" t="s">
        <v>277</v>
      </c>
      <c r="C24" s="242" t="s">
        <v>29</v>
      </c>
      <c r="D24" s="242"/>
      <c r="E24" s="243">
        <v>1</v>
      </c>
      <c r="F24" s="243">
        <v>1</v>
      </c>
      <c r="G24" s="243">
        <v>1</v>
      </c>
      <c r="H24" s="243">
        <v>1</v>
      </c>
      <c r="I24" s="243">
        <v>1</v>
      </c>
      <c r="J24" s="243">
        <v>1</v>
      </c>
      <c r="K24" s="243">
        <v>1</v>
      </c>
      <c r="L24" s="243">
        <v>1</v>
      </c>
      <c r="M24" s="243">
        <v>1</v>
      </c>
      <c r="N24" s="244">
        <v>1</v>
      </c>
      <c r="P24"/>
    </row>
    <row r="25" spans="1:17" s="6" customFormat="1" hidden="1" outlineLevel="1" x14ac:dyDescent="0.25">
      <c r="A25" s="230"/>
      <c r="B25" s="235" t="s">
        <v>276</v>
      </c>
      <c r="C25" s="245" t="s">
        <v>29</v>
      </c>
      <c r="D25" s="242"/>
      <c r="E25" s="420">
        <v>0.5</v>
      </c>
      <c r="F25" s="420">
        <f>+E25+5%</f>
        <v>0.55000000000000004</v>
      </c>
      <c r="G25" s="420">
        <f>+F25+5%</f>
        <v>0.60000000000000009</v>
      </c>
      <c r="H25" s="420">
        <f>+G25+2%</f>
        <v>0.62000000000000011</v>
      </c>
      <c r="I25" s="420">
        <f>+H25</f>
        <v>0.62000000000000011</v>
      </c>
      <c r="J25" s="420">
        <f t="shared" ref="J25:N25" si="0">+I25</f>
        <v>0.62000000000000011</v>
      </c>
      <c r="K25" s="420">
        <f t="shared" si="0"/>
        <v>0.62000000000000011</v>
      </c>
      <c r="L25" s="420">
        <f t="shared" si="0"/>
        <v>0.62000000000000011</v>
      </c>
      <c r="M25" s="420">
        <f t="shared" si="0"/>
        <v>0.62000000000000011</v>
      </c>
      <c r="N25" s="420">
        <f t="shared" si="0"/>
        <v>0.62000000000000011</v>
      </c>
      <c r="P25"/>
    </row>
    <row r="26" spans="1:17" s="6" customFormat="1" hidden="1" outlineLevel="1" x14ac:dyDescent="0.25">
      <c r="A26" s="230"/>
      <c r="B26" s="235" t="s">
        <v>416</v>
      </c>
      <c r="C26" s="245" t="s">
        <v>29</v>
      </c>
      <c r="D26" s="242"/>
      <c r="E26" s="243">
        <f>100%-E25-E27</f>
        <v>0.45</v>
      </c>
      <c r="F26" s="243">
        <f>100%-F25-F27</f>
        <v>0.39999999999999997</v>
      </c>
      <c r="G26" s="243">
        <f t="shared" ref="G26:N26" si="1">100%-G25-G27</f>
        <v>0.34999999999999992</v>
      </c>
      <c r="H26" s="243">
        <f t="shared" si="1"/>
        <v>0.3299999999999999</v>
      </c>
      <c r="I26" s="243">
        <f t="shared" si="1"/>
        <v>0.3299999999999999</v>
      </c>
      <c r="J26" s="243">
        <f t="shared" si="1"/>
        <v>0.3299999999999999</v>
      </c>
      <c r="K26" s="243">
        <f t="shared" si="1"/>
        <v>0.3299999999999999</v>
      </c>
      <c r="L26" s="243">
        <f t="shared" si="1"/>
        <v>0.3299999999999999</v>
      </c>
      <c r="M26" s="243">
        <f t="shared" si="1"/>
        <v>0.3299999999999999</v>
      </c>
      <c r="N26" s="244">
        <f t="shared" si="1"/>
        <v>0.3299999999999999</v>
      </c>
      <c r="P26"/>
    </row>
    <row r="27" spans="1:17" s="6" customFormat="1" hidden="1" outlineLevel="1" x14ac:dyDescent="0.25">
      <c r="A27" s="230"/>
      <c r="B27" s="235" t="s">
        <v>399</v>
      </c>
      <c r="C27" s="245" t="s">
        <v>29</v>
      </c>
      <c r="D27" s="242"/>
      <c r="E27" s="243">
        <v>0.05</v>
      </c>
      <c r="F27" s="243">
        <v>0.05</v>
      </c>
      <c r="G27" s="243">
        <v>0.05</v>
      </c>
      <c r="H27" s="243">
        <v>0.05</v>
      </c>
      <c r="I27" s="243">
        <v>0.05</v>
      </c>
      <c r="J27" s="243">
        <v>0.05</v>
      </c>
      <c r="K27" s="243">
        <v>0.05</v>
      </c>
      <c r="L27" s="243">
        <v>0.05</v>
      </c>
      <c r="M27" s="243">
        <v>0.05</v>
      </c>
      <c r="N27" s="244">
        <v>0.05</v>
      </c>
      <c r="P27"/>
    </row>
    <row r="28" spans="1:17" s="6" customFormat="1" hidden="1" outlineLevel="1" x14ac:dyDescent="0.25">
      <c r="A28" s="230"/>
      <c r="B28" s="246" t="s">
        <v>414</v>
      </c>
      <c r="C28" s="247" t="s">
        <v>425</v>
      </c>
      <c r="D28" s="242"/>
      <c r="E28" s="248">
        <f t="shared" ref="E28:N28" si="2">+E23*E24</f>
        <v>25000</v>
      </c>
      <c r="F28" s="248">
        <f t="shared" si="2"/>
        <v>25000</v>
      </c>
      <c r="G28" s="248">
        <f t="shared" si="2"/>
        <v>25000</v>
      </c>
      <c r="H28" s="248">
        <f t="shared" si="2"/>
        <v>25000</v>
      </c>
      <c r="I28" s="248">
        <f t="shared" si="2"/>
        <v>25000</v>
      </c>
      <c r="J28" s="248">
        <f t="shared" si="2"/>
        <v>25000</v>
      </c>
      <c r="K28" s="248">
        <f t="shared" si="2"/>
        <v>25000</v>
      </c>
      <c r="L28" s="248">
        <f t="shared" si="2"/>
        <v>25000</v>
      </c>
      <c r="M28" s="248">
        <f t="shared" si="2"/>
        <v>25000</v>
      </c>
      <c r="N28" s="249">
        <f t="shared" si="2"/>
        <v>25000</v>
      </c>
      <c r="P28"/>
    </row>
    <row r="29" spans="1:17" s="6" customFormat="1" hidden="1" outlineLevel="1" x14ac:dyDescent="0.25">
      <c r="A29" s="230"/>
      <c r="B29" s="246" t="s">
        <v>415</v>
      </c>
      <c r="C29" s="250" t="s">
        <v>425</v>
      </c>
      <c r="D29" s="251"/>
      <c r="E29" s="248">
        <f t="shared" ref="E29:N29" si="3">+E28*E25</f>
        <v>12500</v>
      </c>
      <c r="F29" s="248">
        <f t="shared" si="3"/>
        <v>13750.000000000002</v>
      </c>
      <c r="G29" s="248">
        <f t="shared" si="3"/>
        <v>15000.000000000002</v>
      </c>
      <c r="H29" s="248">
        <f t="shared" si="3"/>
        <v>15500.000000000002</v>
      </c>
      <c r="I29" s="248">
        <f t="shared" si="3"/>
        <v>15500.000000000002</v>
      </c>
      <c r="J29" s="248">
        <f t="shared" si="3"/>
        <v>15500.000000000002</v>
      </c>
      <c r="K29" s="248">
        <f t="shared" si="3"/>
        <v>15500.000000000002</v>
      </c>
      <c r="L29" s="248">
        <f t="shared" si="3"/>
        <v>15500.000000000002</v>
      </c>
      <c r="M29" s="248">
        <f t="shared" si="3"/>
        <v>15500.000000000002</v>
      </c>
      <c r="N29" s="249">
        <f t="shared" si="3"/>
        <v>15500.000000000002</v>
      </c>
      <c r="P29"/>
    </row>
    <row r="30" spans="1:17" s="6" customFormat="1" hidden="1" outlineLevel="1" x14ac:dyDescent="0.25">
      <c r="A30" s="230"/>
      <c r="B30" s="246" t="s">
        <v>416</v>
      </c>
      <c r="C30" s="247" t="s">
        <v>425</v>
      </c>
      <c r="D30" s="251"/>
      <c r="E30" s="248">
        <f>E28*E26</f>
        <v>11250</v>
      </c>
      <c r="F30" s="248">
        <f t="shared" ref="F30:N30" si="4">+F23*(1-F25)*F24</f>
        <v>11249.999999999998</v>
      </c>
      <c r="G30" s="248">
        <f t="shared" si="4"/>
        <v>9999.9999999999982</v>
      </c>
      <c r="H30" s="248">
        <f t="shared" si="4"/>
        <v>9499.9999999999982</v>
      </c>
      <c r="I30" s="248">
        <f t="shared" si="4"/>
        <v>9499.9999999999982</v>
      </c>
      <c r="J30" s="248">
        <f t="shared" si="4"/>
        <v>9499.9999999999982</v>
      </c>
      <c r="K30" s="248">
        <f t="shared" si="4"/>
        <v>9499.9999999999982</v>
      </c>
      <c r="L30" s="248">
        <f t="shared" si="4"/>
        <v>9499.9999999999982</v>
      </c>
      <c r="M30" s="248">
        <f t="shared" si="4"/>
        <v>9499.9999999999982</v>
      </c>
      <c r="N30" s="249">
        <f t="shared" si="4"/>
        <v>9499.9999999999982</v>
      </c>
      <c r="P30"/>
    </row>
    <row r="31" spans="1:17" s="6" customFormat="1" hidden="1" outlineLevel="1" x14ac:dyDescent="0.25">
      <c r="A31" s="230"/>
      <c r="B31" s="246" t="s">
        <v>399</v>
      </c>
      <c r="C31" s="250" t="s">
        <v>425</v>
      </c>
      <c r="D31" s="251"/>
      <c r="E31" s="248">
        <f>+E28*E27</f>
        <v>1250</v>
      </c>
      <c r="F31" s="248">
        <f t="shared" ref="F31:N31" si="5">+F28*F27</f>
        <v>1250</v>
      </c>
      <c r="G31" s="248">
        <f t="shared" si="5"/>
        <v>1250</v>
      </c>
      <c r="H31" s="248">
        <f t="shared" si="5"/>
        <v>1250</v>
      </c>
      <c r="I31" s="248">
        <f t="shared" si="5"/>
        <v>1250</v>
      </c>
      <c r="J31" s="248">
        <f t="shared" si="5"/>
        <v>1250</v>
      </c>
      <c r="K31" s="248">
        <f t="shared" si="5"/>
        <v>1250</v>
      </c>
      <c r="L31" s="248">
        <f t="shared" si="5"/>
        <v>1250</v>
      </c>
      <c r="M31" s="248">
        <f t="shared" si="5"/>
        <v>1250</v>
      </c>
      <c r="N31" s="249">
        <f t="shared" si="5"/>
        <v>1250</v>
      </c>
      <c r="P31"/>
    </row>
    <row r="32" spans="1:17" s="6" customFormat="1" collapsed="1" x14ac:dyDescent="0.25">
      <c r="A32" s="230"/>
      <c r="B32" s="246"/>
      <c r="C32" s="250"/>
      <c r="D32" s="251"/>
      <c r="E32" s="248"/>
      <c r="F32" s="248"/>
      <c r="G32" s="248"/>
      <c r="H32" s="248"/>
      <c r="I32" s="248"/>
      <c r="J32" s="248"/>
      <c r="K32" s="248"/>
      <c r="L32" s="248"/>
      <c r="M32" s="248"/>
      <c r="N32" s="249"/>
      <c r="P32"/>
    </row>
    <row r="33" spans="1:16" s="6" customFormat="1" ht="18.75" x14ac:dyDescent="0.3">
      <c r="A33" s="237" t="s">
        <v>608</v>
      </c>
      <c r="B33" s="225" t="s">
        <v>282</v>
      </c>
      <c r="C33" s="253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9"/>
      <c r="P33"/>
    </row>
    <row r="34" spans="1:16" s="6" customFormat="1" hidden="1" outlineLevel="1" x14ac:dyDescent="0.25">
      <c r="A34" s="252"/>
      <c r="B34" s="254"/>
      <c r="C34" s="253"/>
      <c r="D34" s="218" t="s">
        <v>278</v>
      </c>
      <c r="E34" s="218" t="s">
        <v>279</v>
      </c>
      <c r="F34" s="218" t="s">
        <v>183</v>
      </c>
      <c r="G34" s="218" t="s">
        <v>184</v>
      </c>
      <c r="H34" s="218" t="s">
        <v>185</v>
      </c>
      <c r="I34" s="218" t="s">
        <v>186</v>
      </c>
      <c r="J34" s="218" t="s">
        <v>187</v>
      </c>
      <c r="K34" s="218" t="s">
        <v>188</v>
      </c>
      <c r="L34" s="218" t="s">
        <v>189</v>
      </c>
      <c r="M34" s="218" t="s">
        <v>190</v>
      </c>
      <c r="N34" s="219" t="s">
        <v>191</v>
      </c>
      <c r="P34"/>
    </row>
    <row r="35" spans="1:16" s="6" customFormat="1" ht="15" hidden="1" customHeight="1" outlineLevel="2" x14ac:dyDescent="0.25">
      <c r="A35" s="622" t="s">
        <v>285</v>
      </c>
      <c r="B35" s="446" t="s">
        <v>544</v>
      </c>
      <c r="C35" s="447" t="s">
        <v>425</v>
      </c>
      <c r="D35" s="448">
        <v>0.5</v>
      </c>
      <c r="E35" s="257">
        <f>+E29*$D$35</f>
        <v>6250</v>
      </c>
      <c r="F35" s="257">
        <f t="shared" ref="F35:N35" si="6">+F29*$D$35</f>
        <v>6875.0000000000009</v>
      </c>
      <c r="G35" s="257">
        <f t="shared" si="6"/>
        <v>7500.0000000000009</v>
      </c>
      <c r="H35" s="257">
        <f t="shared" si="6"/>
        <v>7750.0000000000009</v>
      </c>
      <c r="I35" s="257">
        <f t="shared" si="6"/>
        <v>7750.0000000000009</v>
      </c>
      <c r="J35" s="257">
        <f t="shared" si="6"/>
        <v>7750.0000000000009</v>
      </c>
      <c r="K35" s="257">
        <f t="shared" si="6"/>
        <v>7750.0000000000009</v>
      </c>
      <c r="L35" s="257">
        <f t="shared" si="6"/>
        <v>7750.0000000000009</v>
      </c>
      <c r="M35" s="257">
        <f t="shared" si="6"/>
        <v>7750.0000000000009</v>
      </c>
      <c r="N35" s="257">
        <f t="shared" si="6"/>
        <v>7750.0000000000009</v>
      </c>
      <c r="P35"/>
    </row>
    <row r="36" spans="1:16" s="6" customFormat="1" hidden="1" outlineLevel="2" x14ac:dyDescent="0.25">
      <c r="A36" s="623"/>
      <c r="B36" s="449" t="s">
        <v>497</v>
      </c>
      <c r="C36" s="450" t="s">
        <v>425</v>
      </c>
      <c r="D36" s="451">
        <v>0.3</v>
      </c>
      <c r="E36" s="260">
        <f>+E29*$D$36</f>
        <v>3750</v>
      </c>
      <c r="F36" s="260">
        <f t="shared" ref="F36:N36" si="7">+F29*$D$36</f>
        <v>4125</v>
      </c>
      <c r="G36" s="260">
        <f t="shared" si="7"/>
        <v>4500</v>
      </c>
      <c r="H36" s="260">
        <f t="shared" si="7"/>
        <v>4650</v>
      </c>
      <c r="I36" s="260">
        <f t="shared" si="7"/>
        <v>4650</v>
      </c>
      <c r="J36" s="260">
        <f t="shared" si="7"/>
        <v>4650</v>
      </c>
      <c r="K36" s="260">
        <f t="shared" si="7"/>
        <v>4650</v>
      </c>
      <c r="L36" s="260">
        <f t="shared" si="7"/>
        <v>4650</v>
      </c>
      <c r="M36" s="260">
        <f t="shared" si="7"/>
        <v>4650</v>
      </c>
      <c r="N36" s="260">
        <f t="shared" si="7"/>
        <v>4650</v>
      </c>
      <c r="P36"/>
    </row>
    <row r="37" spans="1:16" s="6" customFormat="1" hidden="1" outlineLevel="2" x14ac:dyDescent="0.25">
      <c r="A37" s="623"/>
      <c r="B37" s="449" t="s">
        <v>543</v>
      </c>
      <c r="C37" s="452" t="s">
        <v>425</v>
      </c>
      <c r="D37" s="451">
        <v>0.05</v>
      </c>
      <c r="E37" s="260">
        <f>+E29*$D$37</f>
        <v>625</v>
      </c>
      <c r="F37" s="260">
        <f t="shared" ref="F37:N37" si="8">+F29*$D$37</f>
        <v>687.50000000000011</v>
      </c>
      <c r="G37" s="260">
        <f t="shared" si="8"/>
        <v>750.00000000000011</v>
      </c>
      <c r="H37" s="260">
        <f t="shared" si="8"/>
        <v>775.00000000000011</v>
      </c>
      <c r="I37" s="260">
        <f t="shared" si="8"/>
        <v>775.00000000000011</v>
      </c>
      <c r="J37" s="260">
        <f t="shared" si="8"/>
        <v>775.00000000000011</v>
      </c>
      <c r="K37" s="260">
        <f t="shared" si="8"/>
        <v>775.00000000000011</v>
      </c>
      <c r="L37" s="260">
        <f t="shared" si="8"/>
        <v>775.00000000000011</v>
      </c>
      <c r="M37" s="260">
        <f t="shared" si="8"/>
        <v>775.00000000000011</v>
      </c>
      <c r="N37" s="260">
        <f t="shared" si="8"/>
        <v>775.00000000000011</v>
      </c>
      <c r="P37"/>
    </row>
    <row r="38" spans="1:16" s="6" customFormat="1" hidden="1" outlineLevel="2" x14ac:dyDescent="0.25">
      <c r="A38" s="623"/>
      <c r="B38" s="449" t="s">
        <v>545</v>
      </c>
      <c r="C38" s="450" t="s">
        <v>425</v>
      </c>
      <c r="D38" s="451">
        <v>0.1</v>
      </c>
      <c r="E38" s="260">
        <f>+E29*$D$38</f>
        <v>1250</v>
      </c>
      <c r="F38" s="260">
        <f t="shared" ref="F38:N38" si="9">+F29*$D$38</f>
        <v>1375.0000000000002</v>
      </c>
      <c r="G38" s="260">
        <f t="shared" si="9"/>
        <v>1500.0000000000002</v>
      </c>
      <c r="H38" s="260">
        <f t="shared" si="9"/>
        <v>1550.0000000000002</v>
      </c>
      <c r="I38" s="260">
        <f t="shared" si="9"/>
        <v>1550.0000000000002</v>
      </c>
      <c r="J38" s="260">
        <f t="shared" si="9"/>
        <v>1550.0000000000002</v>
      </c>
      <c r="K38" s="260">
        <f t="shared" si="9"/>
        <v>1550.0000000000002</v>
      </c>
      <c r="L38" s="260">
        <f t="shared" si="9"/>
        <v>1550.0000000000002</v>
      </c>
      <c r="M38" s="260">
        <f t="shared" si="9"/>
        <v>1550.0000000000002</v>
      </c>
      <c r="N38" s="260">
        <f t="shared" si="9"/>
        <v>1550.0000000000002</v>
      </c>
      <c r="P38"/>
    </row>
    <row r="39" spans="1:16" s="6" customFormat="1" hidden="1" outlineLevel="2" x14ac:dyDescent="0.25">
      <c r="A39" s="624"/>
      <c r="B39" s="453" t="s">
        <v>464</v>
      </c>
      <c r="C39" s="454" t="s">
        <v>425</v>
      </c>
      <c r="D39" s="455">
        <v>0.05</v>
      </c>
      <c r="E39" s="260">
        <f>+E29*$D$39</f>
        <v>625</v>
      </c>
      <c r="F39" s="260">
        <f t="shared" ref="F39:N39" si="10">+F29*$D$39</f>
        <v>687.50000000000011</v>
      </c>
      <c r="G39" s="260">
        <f t="shared" si="10"/>
        <v>750.00000000000011</v>
      </c>
      <c r="H39" s="260">
        <f t="shared" si="10"/>
        <v>775.00000000000011</v>
      </c>
      <c r="I39" s="260">
        <f t="shared" si="10"/>
        <v>775.00000000000011</v>
      </c>
      <c r="J39" s="260">
        <f t="shared" si="10"/>
        <v>775.00000000000011</v>
      </c>
      <c r="K39" s="260">
        <f t="shared" si="10"/>
        <v>775.00000000000011</v>
      </c>
      <c r="L39" s="260">
        <f t="shared" si="10"/>
        <v>775.00000000000011</v>
      </c>
      <c r="M39" s="260">
        <f t="shared" si="10"/>
        <v>775.00000000000011</v>
      </c>
      <c r="N39" s="260">
        <f t="shared" si="10"/>
        <v>775.00000000000011</v>
      </c>
      <c r="P39"/>
    </row>
    <row r="40" spans="1:16" s="6" customFormat="1" hidden="1" outlineLevel="2" x14ac:dyDescent="0.25">
      <c r="A40" s="617" t="s">
        <v>339</v>
      </c>
      <c r="B40" s="255" t="s">
        <v>426</v>
      </c>
      <c r="C40" s="265" t="s">
        <v>425</v>
      </c>
      <c r="D40" s="256">
        <v>0.65</v>
      </c>
      <c r="E40" s="257">
        <f>+E30*$D$40</f>
        <v>7312.5</v>
      </c>
      <c r="F40" s="257">
        <f>+F30*$D$40</f>
        <v>7312.4999999999991</v>
      </c>
      <c r="G40" s="257">
        <f t="shared" ref="G40:N40" si="11">+G30*$D$40</f>
        <v>6499.9999999999991</v>
      </c>
      <c r="H40" s="257">
        <f t="shared" si="11"/>
        <v>6174.9999999999991</v>
      </c>
      <c r="I40" s="257">
        <f t="shared" si="11"/>
        <v>6174.9999999999991</v>
      </c>
      <c r="J40" s="257">
        <f t="shared" si="11"/>
        <v>6174.9999999999991</v>
      </c>
      <c r="K40" s="257">
        <f t="shared" si="11"/>
        <v>6174.9999999999991</v>
      </c>
      <c r="L40" s="257">
        <f t="shared" si="11"/>
        <v>6174.9999999999991</v>
      </c>
      <c r="M40" s="257">
        <f t="shared" si="11"/>
        <v>6174.9999999999991</v>
      </c>
      <c r="N40" s="258">
        <f t="shared" si="11"/>
        <v>6174.9999999999991</v>
      </c>
      <c r="P40"/>
    </row>
    <row r="41" spans="1:16" s="6" customFormat="1" hidden="1" outlineLevel="2" x14ac:dyDescent="0.25">
      <c r="A41" s="618"/>
      <c r="B41" s="261" t="s">
        <v>427</v>
      </c>
      <c r="C41" s="266" t="s">
        <v>425</v>
      </c>
      <c r="D41" s="262">
        <v>0.35</v>
      </c>
      <c r="E41" s="263">
        <f>+E30*$D$41</f>
        <v>3937.4999999999995</v>
      </c>
      <c r="F41" s="263">
        <f>+F30*$D$41</f>
        <v>3937.4999999999991</v>
      </c>
      <c r="G41" s="263">
        <f t="shared" ref="G41:N41" si="12">+G30*$D$41</f>
        <v>3499.9999999999991</v>
      </c>
      <c r="H41" s="263">
        <f t="shared" si="12"/>
        <v>3324.9999999999991</v>
      </c>
      <c r="I41" s="263">
        <f t="shared" si="12"/>
        <v>3324.9999999999991</v>
      </c>
      <c r="J41" s="263">
        <f t="shared" si="12"/>
        <v>3324.9999999999991</v>
      </c>
      <c r="K41" s="263">
        <f t="shared" si="12"/>
        <v>3324.9999999999991</v>
      </c>
      <c r="L41" s="263">
        <f t="shared" si="12"/>
        <v>3324.9999999999991</v>
      </c>
      <c r="M41" s="263">
        <f t="shared" si="12"/>
        <v>3324.9999999999991</v>
      </c>
      <c r="N41" s="264">
        <f t="shared" si="12"/>
        <v>3324.9999999999991</v>
      </c>
      <c r="P41"/>
    </row>
    <row r="42" spans="1:16" s="6" customFormat="1" collapsed="1" x14ac:dyDescent="0.25">
      <c r="A42" s="230"/>
      <c r="B42" s="259"/>
      <c r="C42" s="229"/>
      <c r="D42" s="229"/>
      <c r="E42" s="245"/>
      <c r="F42" s="229"/>
      <c r="G42" s="229"/>
      <c r="H42" s="229"/>
      <c r="I42" s="229"/>
      <c r="J42" s="229"/>
      <c r="K42" s="229"/>
      <c r="L42" s="229"/>
      <c r="M42" s="229"/>
      <c r="N42" s="236"/>
      <c r="P42"/>
    </row>
    <row r="43" spans="1:16" s="6" customFormat="1" ht="18.75" x14ac:dyDescent="0.3">
      <c r="A43" s="252"/>
      <c r="B43" s="225" t="s">
        <v>280</v>
      </c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9"/>
      <c r="P43"/>
    </row>
    <row r="44" spans="1:16" s="6" customFormat="1" hidden="1" outlineLevel="1" x14ac:dyDescent="0.25">
      <c r="A44" s="252"/>
      <c r="B44" s="254"/>
      <c r="C44" s="218"/>
      <c r="D44" s="267" t="s">
        <v>278</v>
      </c>
      <c r="E44" s="267" t="s">
        <v>279</v>
      </c>
      <c r="F44" s="267" t="s">
        <v>183</v>
      </c>
      <c r="G44" s="267" t="s">
        <v>184</v>
      </c>
      <c r="H44" s="267" t="s">
        <v>185</v>
      </c>
      <c r="I44" s="267" t="s">
        <v>186</v>
      </c>
      <c r="J44" s="267" t="s">
        <v>187</v>
      </c>
      <c r="K44" s="267" t="s">
        <v>188</v>
      </c>
      <c r="L44" s="267" t="s">
        <v>189</v>
      </c>
      <c r="M44" s="267" t="s">
        <v>190</v>
      </c>
      <c r="N44" s="268" t="s">
        <v>191</v>
      </c>
      <c r="P44"/>
    </row>
    <row r="45" spans="1:16" hidden="1" outlineLevel="2" x14ac:dyDescent="0.25">
      <c r="A45" s="230"/>
      <c r="B45" s="235" t="s">
        <v>454</v>
      </c>
      <c r="C45" s="229"/>
      <c r="D45" s="269"/>
      <c r="E45" s="270">
        <v>0</v>
      </c>
      <c r="F45" s="270">
        <v>0</v>
      </c>
      <c r="G45" s="270">
        <v>0</v>
      </c>
      <c r="H45" s="270">
        <v>0</v>
      </c>
      <c r="I45" s="270">
        <v>0</v>
      </c>
      <c r="J45" s="270">
        <v>0</v>
      </c>
      <c r="K45" s="270">
        <v>0</v>
      </c>
      <c r="L45" s="270">
        <v>0</v>
      </c>
      <c r="M45" s="270">
        <v>0</v>
      </c>
      <c r="N45" s="270">
        <v>0</v>
      </c>
    </row>
    <row r="46" spans="1:16" hidden="1" outlineLevel="2" x14ac:dyDescent="0.25">
      <c r="A46" s="230"/>
      <c r="B46" s="235" t="s">
        <v>455</v>
      </c>
      <c r="C46" s="229"/>
      <c r="D46" s="269"/>
      <c r="E46" s="270">
        <f>+(E47-D47)/D47</f>
        <v>0</v>
      </c>
      <c r="F46" s="270">
        <f t="shared" ref="F46:N46" si="13">+(F47-E47)/E47</f>
        <v>0</v>
      </c>
      <c r="G46" s="270">
        <f t="shared" si="13"/>
        <v>0</v>
      </c>
      <c r="H46" s="270">
        <f t="shared" si="13"/>
        <v>0</v>
      </c>
      <c r="I46" s="270">
        <f t="shared" si="13"/>
        <v>0</v>
      </c>
      <c r="J46" s="270">
        <f>+(J47-I47)/I47</f>
        <v>0</v>
      </c>
      <c r="K46" s="270">
        <f t="shared" si="13"/>
        <v>0</v>
      </c>
      <c r="L46" s="270">
        <f t="shared" si="13"/>
        <v>0</v>
      </c>
      <c r="M46" s="270">
        <f t="shared" si="13"/>
        <v>0</v>
      </c>
      <c r="N46" s="270">
        <f t="shared" si="13"/>
        <v>0</v>
      </c>
    </row>
    <row r="47" spans="1:16" hidden="1" outlineLevel="2" x14ac:dyDescent="0.25">
      <c r="A47" s="230"/>
      <c r="B47" s="235" t="s">
        <v>457</v>
      </c>
      <c r="C47" s="229"/>
      <c r="D47" s="269">
        <v>10</v>
      </c>
      <c r="E47" s="269">
        <v>10</v>
      </c>
      <c r="F47" s="269">
        <v>10</v>
      </c>
      <c r="G47" s="269">
        <v>10</v>
      </c>
      <c r="H47" s="269">
        <v>10</v>
      </c>
      <c r="I47" s="269">
        <v>10</v>
      </c>
      <c r="J47" s="269">
        <v>10</v>
      </c>
      <c r="K47" s="269">
        <v>10</v>
      </c>
      <c r="L47" s="269">
        <v>10</v>
      </c>
      <c r="M47" s="269">
        <v>10</v>
      </c>
      <c r="N47" s="269">
        <v>10</v>
      </c>
    </row>
    <row r="48" spans="1:16" hidden="1" outlineLevel="2" x14ac:dyDescent="0.25">
      <c r="A48" s="230"/>
      <c r="B48" s="382" t="s">
        <v>456</v>
      </c>
      <c r="C48" s="383"/>
      <c r="D48" s="384"/>
      <c r="E48" s="385">
        <f t="shared" ref="E48:N48" si="14">+E45-E46</f>
        <v>0</v>
      </c>
      <c r="F48" s="385">
        <f t="shared" si="14"/>
        <v>0</v>
      </c>
      <c r="G48" s="385">
        <f t="shared" si="14"/>
        <v>0</v>
      </c>
      <c r="H48" s="385">
        <f t="shared" si="14"/>
        <v>0</v>
      </c>
      <c r="I48" s="385">
        <f t="shared" si="14"/>
        <v>0</v>
      </c>
      <c r="J48" s="385">
        <f t="shared" si="14"/>
        <v>0</v>
      </c>
      <c r="K48" s="385">
        <f>+K45-K46</f>
        <v>0</v>
      </c>
      <c r="L48" s="385">
        <f t="shared" si="14"/>
        <v>0</v>
      </c>
      <c r="M48" s="385">
        <f t="shared" si="14"/>
        <v>0</v>
      </c>
      <c r="N48" s="385">
        <f t="shared" si="14"/>
        <v>0</v>
      </c>
    </row>
    <row r="49" spans="1:17" hidden="1" outlineLevel="2" x14ac:dyDescent="0.25">
      <c r="A49" s="230"/>
      <c r="B49" s="235" t="s">
        <v>271</v>
      </c>
      <c r="C49" s="229"/>
      <c r="D49" s="269"/>
      <c r="E49" s="272">
        <f>+E98+E117</f>
        <v>26</v>
      </c>
      <c r="F49" s="272">
        <f t="shared" ref="F49:N49" si="15">+F98+F117</f>
        <v>26</v>
      </c>
      <c r="G49" s="272">
        <f t="shared" si="15"/>
        <v>27</v>
      </c>
      <c r="H49" s="272">
        <f t="shared" si="15"/>
        <v>27</v>
      </c>
      <c r="I49" s="272">
        <f t="shared" si="15"/>
        <v>27</v>
      </c>
      <c r="J49" s="272">
        <f t="shared" si="15"/>
        <v>27</v>
      </c>
      <c r="K49" s="272">
        <f t="shared" si="15"/>
        <v>27</v>
      </c>
      <c r="L49" s="272">
        <f t="shared" si="15"/>
        <v>27</v>
      </c>
      <c r="M49" s="272">
        <f t="shared" si="15"/>
        <v>27</v>
      </c>
      <c r="N49" s="273">
        <f t="shared" si="15"/>
        <v>27</v>
      </c>
    </row>
    <row r="50" spans="1:17" collapsed="1" x14ac:dyDescent="0.25">
      <c r="A50" s="230"/>
      <c r="B50" s="235"/>
      <c r="C50" s="229"/>
      <c r="D50" s="269"/>
      <c r="E50" s="269"/>
      <c r="F50" s="269"/>
      <c r="G50" s="269"/>
      <c r="H50" s="269"/>
      <c r="I50" s="269"/>
      <c r="J50" s="269"/>
      <c r="K50" s="269"/>
      <c r="L50" s="269"/>
      <c r="M50" s="269"/>
      <c r="N50" s="271"/>
    </row>
    <row r="51" spans="1:17" ht="21" x14ac:dyDescent="0.35">
      <c r="A51" s="555" t="s">
        <v>328</v>
      </c>
      <c r="B51" s="556" t="s">
        <v>270</v>
      </c>
      <c r="C51" s="557" t="s">
        <v>41</v>
      </c>
      <c r="D51" s="557" t="s">
        <v>278</v>
      </c>
      <c r="E51" s="557" t="s">
        <v>279</v>
      </c>
      <c r="F51" s="557" t="s">
        <v>183</v>
      </c>
      <c r="G51" s="557" t="s">
        <v>184</v>
      </c>
      <c r="H51" s="557" t="s">
        <v>185</v>
      </c>
      <c r="I51" s="557" t="s">
        <v>186</v>
      </c>
      <c r="J51" s="557" t="s">
        <v>187</v>
      </c>
      <c r="K51" s="557" t="s">
        <v>188</v>
      </c>
      <c r="L51" s="557" t="s">
        <v>189</v>
      </c>
      <c r="M51" s="557" t="s">
        <v>190</v>
      </c>
      <c r="N51" s="558" t="s">
        <v>191</v>
      </c>
      <c r="O51" s="192"/>
      <c r="P51" s="192"/>
      <c r="Q51" s="192"/>
    </row>
    <row r="52" spans="1:17" x14ac:dyDescent="0.25">
      <c r="A52" s="220"/>
      <c r="B52" s="221"/>
      <c r="C52" s="222"/>
      <c r="D52" s="275"/>
      <c r="E52" s="275"/>
      <c r="F52" s="275"/>
      <c r="G52" s="275"/>
      <c r="H52" s="275"/>
      <c r="I52" s="275"/>
      <c r="J52" s="275"/>
      <c r="K52" s="275"/>
      <c r="L52" s="275"/>
      <c r="M52" s="275"/>
      <c r="N52" s="276"/>
      <c r="O52" s="192"/>
      <c r="P52" s="192"/>
      <c r="Q52" s="192"/>
    </row>
    <row r="53" spans="1:17" ht="18.75" x14ac:dyDescent="0.3">
      <c r="A53" s="277" t="s">
        <v>329</v>
      </c>
      <c r="B53" s="278" t="s">
        <v>550</v>
      </c>
      <c r="C53" s="218" t="s">
        <v>1</v>
      </c>
      <c r="D53" s="279"/>
      <c r="E53" s="280">
        <f>+E65+E74</f>
        <v>2419883</v>
      </c>
      <c r="F53" s="280">
        <f t="shared" ref="F53:N53" si="16">+F65+F74</f>
        <v>2657792.0499999998</v>
      </c>
      <c r="G53" s="280">
        <f>+G65+G74</f>
        <v>2891168.6</v>
      </c>
      <c r="H53" s="280">
        <f>+H65+H74</f>
        <v>3505120.2</v>
      </c>
      <c r="I53" s="280">
        <f t="shared" si="16"/>
        <v>3505120.2</v>
      </c>
      <c r="J53" s="280">
        <f t="shared" si="16"/>
        <v>3505120.2</v>
      </c>
      <c r="K53" s="280">
        <f t="shared" si="16"/>
        <v>3505120.2</v>
      </c>
      <c r="L53" s="280">
        <f t="shared" si="16"/>
        <v>3505120.2</v>
      </c>
      <c r="M53" s="280">
        <f t="shared" si="16"/>
        <v>3505120.2</v>
      </c>
      <c r="N53" s="280">
        <f t="shared" si="16"/>
        <v>3505120.2</v>
      </c>
      <c r="O53" s="192"/>
      <c r="P53" s="192"/>
      <c r="Q53" s="192"/>
    </row>
    <row r="54" spans="1:17" hidden="1" outlineLevel="1" x14ac:dyDescent="0.25">
      <c r="A54" s="230"/>
      <c r="B54" s="281" t="s">
        <v>275</v>
      </c>
      <c r="C54" s="282">
        <v>0.02</v>
      </c>
      <c r="D54" s="283"/>
      <c r="E54" s="284">
        <v>0.7</v>
      </c>
      <c r="F54" s="285">
        <f t="shared" ref="F54:N54" si="17">+E54+$C$54</f>
        <v>0.72</v>
      </c>
      <c r="G54" s="285">
        <f t="shared" si="17"/>
        <v>0.74</v>
      </c>
      <c r="H54" s="285">
        <f t="shared" si="17"/>
        <v>0.76</v>
      </c>
      <c r="I54" s="285">
        <f t="shared" si="17"/>
        <v>0.78</v>
      </c>
      <c r="J54" s="285">
        <f t="shared" si="17"/>
        <v>0.8</v>
      </c>
      <c r="K54" s="285">
        <f t="shared" si="17"/>
        <v>0.82000000000000006</v>
      </c>
      <c r="L54" s="285">
        <f t="shared" si="17"/>
        <v>0.84000000000000008</v>
      </c>
      <c r="M54" s="285">
        <f t="shared" si="17"/>
        <v>0.8600000000000001</v>
      </c>
      <c r="N54" s="286">
        <f t="shared" si="17"/>
        <v>0.88000000000000012</v>
      </c>
      <c r="O54" s="192"/>
      <c r="P54" s="192"/>
      <c r="Q54" s="192"/>
    </row>
    <row r="55" spans="1:17" hidden="1" outlineLevel="1" x14ac:dyDescent="0.25">
      <c r="A55" s="390"/>
      <c r="B55" s="391" t="s">
        <v>343</v>
      </c>
      <c r="C55" s="392"/>
      <c r="D55" s="393"/>
      <c r="E55" s="394"/>
      <c r="F55" s="394"/>
      <c r="G55" s="394"/>
      <c r="H55" s="394"/>
      <c r="I55" s="394"/>
      <c r="J55" s="394"/>
      <c r="K55" s="394"/>
      <c r="L55" s="394"/>
      <c r="M55" s="394"/>
      <c r="N55" s="394"/>
      <c r="O55" s="192"/>
      <c r="P55" s="192"/>
      <c r="Q55" s="192"/>
    </row>
    <row r="56" spans="1:17" ht="15" hidden="1" customHeight="1" outlineLevel="1" x14ac:dyDescent="0.25">
      <c r="A56" s="617" t="s">
        <v>285</v>
      </c>
      <c r="B56" s="255" t="s">
        <v>462</v>
      </c>
      <c r="C56" s="265" t="s">
        <v>439</v>
      </c>
      <c r="D56" s="289"/>
      <c r="E56" s="290">
        <f>($C$10*$Q$5/E47)</f>
        <v>211.15199999999999</v>
      </c>
      <c r="F56" s="290">
        <f t="shared" ref="F56:N56" si="18">($C$10*$Q$5/F47)</f>
        <v>211.15199999999999</v>
      </c>
      <c r="G56" s="290">
        <f t="shared" si="18"/>
        <v>211.15199999999999</v>
      </c>
      <c r="H56" s="290">
        <f t="shared" si="18"/>
        <v>211.15199999999999</v>
      </c>
      <c r="I56" s="290">
        <f t="shared" si="18"/>
        <v>211.15199999999999</v>
      </c>
      <c r="J56" s="290">
        <f t="shared" si="18"/>
        <v>211.15199999999999</v>
      </c>
      <c r="K56" s="290">
        <f t="shared" si="18"/>
        <v>211.15199999999999</v>
      </c>
      <c r="L56" s="290">
        <f t="shared" si="18"/>
        <v>211.15199999999999</v>
      </c>
      <c r="M56" s="290">
        <f t="shared" si="18"/>
        <v>211.15199999999999</v>
      </c>
      <c r="N56" s="290">
        <f t="shared" si="18"/>
        <v>211.15199999999999</v>
      </c>
      <c r="O56" s="194"/>
      <c r="P56" s="192"/>
      <c r="Q56" s="192"/>
    </row>
    <row r="57" spans="1:17" hidden="1" outlineLevel="1" x14ac:dyDescent="0.25">
      <c r="A57" s="621"/>
      <c r="B57" s="259" t="s">
        <v>497</v>
      </c>
      <c r="C57" s="245" t="s">
        <v>439</v>
      </c>
      <c r="D57" s="291"/>
      <c r="E57" s="292">
        <f>$C$11*$Q$5/E47</f>
        <v>218.78400000000002</v>
      </c>
      <c r="F57" s="292">
        <f t="shared" ref="F57:N57" si="19">$C$11*$Q$5/F47</f>
        <v>218.78400000000002</v>
      </c>
      <c r="G57" s="292">
        <f t="shared" si="19"/>
        <v>218.78400000000002</v>
      </c>
      <c r="H57" s="292">
        <f t="shared" si="19"/>
        <v>218.78400000000002</v>
      </c>
      <c r="I57" s="292">
        <f t="shared" si="19"/>
        <v>218.78400000000002</v>
      </c>
      <c r="J57" s="292">
        <f t="shared" si="19"/>
        <v>218.78400000000002</v>
      </c>
      <c r="K57" s="292">
        <f t="shared" si="19"/>
        <v>218.78400000000002</v>
      </c>
      <c r="L57" s="292">
        <f t="shared" si="19"/>
        <v>218.78400000000002</v>
      </c>
      <c r="M57" s="292">
        <f t="shared" si="19"/>
        <v>218.78400000000002</v>
      </c>
      <c r="N57" s="292">
        <f t="shared" si="19"/>
        <v>218.78400000000002</v>
      </c>
      <c r="O57" s="194"/>
      <c r="P57" s="192"/>
      <c r="Q57" s="192"/>
    </row>
    <row r="58" spans="1:17" hidden="1" outlineLevel="1" x14ac:dyDescent="0.25">
      <c r="A58" s="621"/>
      <c r="B58" s="259" t="s">
        <v>498</v>
      </c>
      <c r="C58" s="245" t="s">
        <v>439</v>
      </c>
      <c r="D58" s="291"/>
      <c r="E58" s="292">
        <f>$C$12*$Q$5/E47</f>
        <v>218.78400000000002</v>
      </c>
      <c r="F58" s="292">
        <f t="shared" ref="F58:N58" si="20">$C$12*$Q$5/F47</f>
        <v>218.78400000000002</v>
      </c>
      <c r="G58" s="292">
        <f t="shared" si="20"/>
        <v>218.78400000000002</v>
      </c>
      <c r="H58" s="292">
        <f t="shared" si="20"/>
        <v>218.78400000000002</v>
      </c>
      <c r="I58" s="292">
        <f t="shared" si="20"/>
        <v>218.78400000000002</v>
      </c>
      <c r="J58" s="292">
        <f t="shared" si="20"/>
        <v>218.78400000000002</v>
      </c>
      <c r="K58" s="292">
        <f t="shared" si="20"/>
        <v>218.78400000000002</v>
      </c>
      <c r="L58" s="292">
        <f t="shared" si="20"/>
        <v>218.78400000000002</v>
      </c>
      <c r="M58" s="292">
        <f t="shared" si="20"/>
        <v>218.78400000000002</v>
      </c>
      <c r="N58" s="292">
        <f t="shared" si="20"/>
        <v>218.78400000000002</v>
      </c>
      <c r="O58" s="194"/>
      <c r="P58" s="192"/>
      <c r="Q58" s="192"/>
    </row>
    <row r="59" spans="1:17" hidden="1" outlineLevel="1" x14ac:dyDescent="0.25">
      <c r="A59" s="621"/>
      <c r="B59" s="259" t="s">
        <v>463</v>
      </c>
      <c r="C59" s="245" t="s">
        <v>439</v>
      </c>
      <c r="D59" s="291"/>
      <c r="E59" s="292">
        <f>$C$13*$Q$5/E47</f>
        <v>260.76000000000005</v>
      </c>
      <c r="F59" s="292">
        <f t="shared" ref="F59:N59" si="21">$C$13*$Q$5/F47</f>
        <v>260.76000000000005</v>
      </c>
      <c r="G59" s="292">
        <f t="shared" si="21"/>
        <v>260.76000000000005</v>
      </c>
      <c r="H59" s="292">
        <f t="shared" si="21"/>
        <v>260.76000000000005</v>
      </c>
      <c r="I59" s="292">
        <f t="shared" si="21"/>
        <v>260.76000000000005</v>
      </c>
      <c r="J59" s="292">
        <f t="shared" si="21"/>
        <v>260.76000000000005</v>
      </c>
      <c r="K59" s="292">
        <f t="shared" si="21"/>
        <v>260.76000000000005</v>
      </c>
      <c r="L59" s="292">
        <f t="shared" si="21"/>
        <v>260.76000000000005</v>
      </c>
      <c r="M59" s="292">
        <f t="shared" si="21"/>
        <v>260.76000000000005</v>
      </c>
      <c r="N59" s="292">
        <f t="shared" si="21"/>
        <v>260.76000000000005</v>
      </c>
      <c r="O59" s="194"/>
      <c r="P59" s="192"/>
      <c r="Q59" s="192"/>
    </row>
    <row r="60" spans="1:17" hidden="1" outlineLevel="1" x14ac:dyDescent="0.25">
      <c r="A60" s="618"/>
      <c r="B60" s="261" t="s">
        <v>464</v>
      </c>
      <c r="C60" s="266" t="s">
        <v>439</v>
      </c>
      <c r="D60" s="293"/>
      <c r="E60" s="292">
        <f>$C$14*$Q$5/E47</f>
        <v>313.76000000000005</v>
      </c>
      <c r="F60" s="292">
        <f t="shared" ref="F60:N60" si="22">$C$14*$Q$5/F47</f>
        <v>313.76000000000005</v>
      </c>
      <c r="G60" s="292">
        <f t="shared" si="22"/>
        <v>313.76000000000005</v>
      </c>
      <c r="H60" s="292">
        <f t="shared" si="22"/>
        <v>313.76000000000005</v>
      </c>
      <c r="I60" s="292">
        <f t="shared" si="22"/>
        <v>313.76000000000005</v>
      </c>
      <c r="J60" s="292">
        <f t="shared" si="22"/>
        <v>313.76000000000005</v>
      </c>
      <c r="K60" s="292">
        <f t="shared" si="22"/>
        <v>313.76000000000005</v>
      </c>
      <c r="L60" s="292">
        <f t="shared" si="22"/>
        <v>313.76000000000005</v>
      </c>
      <c r="M60" s="292">
        <f t="shared" si="22"/>
        <v>313.76000000000005</v>
      </c>
      <c r="N60" s="292">
        <f t="shared" si="22"/>
        <v>313.76000000000005</v>
      </c>
      <c r="O60" s="194"/>
      <c r="P60" s="192"/>
      <c r="Q60" s="192"/>
    </row>
    <row r="61" spans="1:17" hidden="1" outlineLevel="1" x14ac:dyDescent="0.25">
      <c r="A61" s="406"/>
      <c r="B61" s="407" t="s">
        <v>350</v>
      </c>
      <c r="C61" s="408" t="s">
        <v>417</v>
      </c>
      <c r="D61" s="409"/>
      <c r="E61" s="409">
        <f>+(E35*E56+E36*E57+E37*E58+E38*E59+E39*E60)/E29</f>
        <v>223.9144</v>
      </c>
      <c r="F61" s="409">
        <f t="shared" ref="F61:N61" si="23">+(F35*F56+F36*F57+F37*F58+F38*F59+F39*F60)/F29</f>
        <v>223.91439999999997</v>
      </c>
      <c r="G61" s="409">
        <f t="shared" si="23"/>
        <v>223.91439999999997</v>
      </c>
      <c r="H61" s="409">
        <f t="shared" si="23"/>
        <v>223.91439999999997</v>
      </c>
      <c r="I61" s="409">
        <f t="shared" si="23"/>
        <v>223.91439999999997</v>
      </c>
      <c r="J61" s="409">
        <f t="shared" si="23"/>
        <v>223.91439999999997</v>
      </c>
      <c r="K61" s="409">
        <f t="shared" si="23"/>
        <v>223.91439999999997</v>
      </c>
      <c r="L61" s="409">
        <f t="shared" si="23"/>
        <v>223.91439999999997</v>
      </c>
      <c r="M61" s="409">
        <f t="shared" si="23"/>
        <v>223.91439999999997</v>
      </c>
      <c r="N61" s="409">
        <f t="shared" si="23"/>
        <v>223.91439999999997</v>
      </c>
      <c r="O61" s="194"/>
      <c r="P61" s="192"/>
      <c r="Q61" s="192"/>
    </row>
    <row r="62" spans="1:17" hidden="1" outlineLevel="1" x14ac:dyDescent="0.25">
      <c r="A62" s="621" t="s">
        <v>339</v>
      </c>
      <c r="B62" s="259" t="s">
        <v>283</v>
      </c>
      <c r="C62" s="294" t="s">
        <v>417</v>
      </c>
      <c r="D62" s="291"/>
      <c r="E62" s="292">
        <f>$C$15/E47</f>
        <v>4.0950000000000006</v>
      </c>
      <c r="F62" s="292">
        <f t="shared" ref="F62:N62" si="24">$C$15/F47</f>
        <v>4.0950000000000006</v>
      </c>
      <c r="G62" s="292">
        <f t="shared" si="24"/>
        <v>4.0950000000000006</v>
      </c>
      <c r="H62" s="292">
        <f t="shared" si="24"/>
        <v>4.0950000000000006</v>
      </c>
      <c r="I62" s="292">
        <f t="shared" si="24"/>
        <v>4.0950000000000006</v>
      </c>
      <c r="J62" s="292">
        <f t="shared" si="24"/>
        <v>4.0950000000000006</v>
      </c>
      <c r="K62" s="292">
        <f t="shared" si="24"/>
        <v>4.0950000000000006</v>
      </c>
      <c r="L62" s="292">
        <f t="shared" si="24"/>
        <v>4.0950000000000006</v>
      </c>
      <c r="M62" s="292">
        <f t="shared" si="24"/>
        <v>4.0950000000000006</v>
      </c>
      <c r="N62" s="292">
        <f t="shared" si="24"/>
        <v>4.0950000000000006</v>
      </c>
      <c r="O62" s="194"/>
      <c r="P62" s="192"/>
      <c r="Q62" s="192"/>
    </row>
    <row r="63" spans="1:17" hidden="1" outlineLevel="1" x14ac:dyDescent="0.25">
      <c r="A63" s="618"/>
      <c r="B63" s="261" t="s">
        <v>284</v>
      </c>
      <c r="C63" s="266" t="s">
        <v>417</v>
      </c>
      <c r="D63" s="293"/>
      <c r="E63" s="295">
        <f>$C$16/E47</f>
        <v>2.7549999999999999</v>
      </c>
      <c r="F63" s="295">
        <f t="shared" ref="F63:N63" si="25">$C$16/F47</f>
        <v>2.7549999999999999</v>
      </c>
      <c r="G63" s="295">
        <f t="shared" si="25"/>
        <v>2.7549999999999999</v>
      </c>
      <c r="H63" s="295">
        <f t="shared" si="25"/>
        <v>2.7549999999999999</v>
      </c>
      <c r="I63" s="295">
        <f t="shared" si="25"/>
        <v>2.7549999999999999</v>
      </c>
      <c r="J63" s="295">
        <f t="shared" si="25"/>
        <v>2.7549999999999999</v>
      </c>
      <c r="K63" s="295">
        <f t="shared" si="25"/>
        <v>2.7549999999999999</v>
      </c>
      <c r="L63" s="295">
        <f t="shared" si="25"/>
        <v>2.7549999999999999</v>
      </c>
      <c r="M63" s="295">
        <f t="shared" si="25"/>
        <v>2.7549999999999999</v>
      </c>
      <c r="N63" s="295">
        <f t="shared" si="25"/>
        <v>2.7549999999999999</v>
      </c>
      <c r="O63" s="194"/>
      <c r="P63" s="192"/>
      <c r="Q63" s="192"/>
    </row>
    <row r="64" spans="1:17" hidden="1" outlineLevel="1" x14ac:dyDescent="0.25">
      <c r="A64" s="395"/>
      <c r="B64" s="320"/>
      <c r="C64" s="396"/>
      <c r="D64" s="397"/>
      <c r="E64" s="398"/>
      <c r="F64" s="398"/>
      <c r="G64" s="398"/>
      <c r="H64" s="398"/>
      <c r="I64" s="398"/>
      <c r="J64" s="398"/>
      <c r="K64" s="398"/>
      <c r="L64" s="398"/>
      <c r="M64" s="398"/>
      <c r="N64" s="399"/>
      <c r="O64" s="192"/>
      <c r="P64" s="192"/>
      <c r="Q64" s="192"/>
    </row>
    <row r="65" spans="1:17" hidden="1" outlineLevel="1" x14ac:dyDescent="0.25">
      <c r="A65" s="390" t="s">
        <v>329</v>
      </c>
      <c r="B65" s="391" t="s">
        <v>465</v>
      </c>
      <c r="C65" s="392"/>
      <c r="D65" s="393"/>
      <c r="E65" s="394">
        <f>SUM(E66:E72)</f>
        <v>2839722.5</v>
      </c>
      <c r="F65" s="394">
        <f t="shared" ref="F65:N65" si="26">SUM(F66:F72)</f>
        <v>3119615.5</v>
      </c>
      <c r="G65" s="394">
        <f t="shared" si="26"/>
        <v>3394976</v>
      </c>
      <c r="H65" s="394">
        <f t="shared" si="26"/>
        <v>3505120.2</v>
      </c>
      <c r="I65" s="394">
        <f t="shared" si="26"/>
        <v>3505120.2</v>
      </c>
      <c r="J65" s="394">
        <f t="shared" si="26"/>
        <v>3505120.2</v>
      </c>
      <c r="K65" s="394">
        <f t="shared" si="26"/>
        <v>3505120.2</v>
      </c>
      <c r="L65" s="394">
        <f t="shared" si="26"/>
        <v>3505120.2</v>
      </c>
      <c r="M65" s="394">
        <f t="shared" si="26"/>
        <v>3505120.2</v>
      </c>
      <c r="N65" s="394">
        <f t="shared" si="26"/>
        <v>3505120.2</v>
      </c>
      <c r="O65" s="192"/>
      <c r="P65" s="192"/>
      <c r="Q65" s="192"/>
    </row>
    <row r="66" spans="1:17" ht="15" hidden="1" customHeight="1" outlineLevel="1" x14ac:dyDescent="0.25">
      <c r="A66" s="617" t="s">
        <v>285</v>
      </c>
      <c r="B66" s="255" t="s">
        <v>462</v>
      </c>
      <c r="C66" s="265" t="s">
        <v>1</v>
      </c>
      <c r="D66" s="289"/>
      <c r="E66" s="296">
        <f>+E35*E56</f>
        <v>1319700</v>
      </c>
      <c r="F66" s="296">
        <f t="shared" ref="F66:N66" si="27">+F35*F56</f>
        <v>1451670</v>
      </c>
      <c r="G66" s="296">
        <f t="shared" si="27"/>
        <v>1583640</v>
      </c>
      <c r="H66" s="296">
        <f t="shared" si="27"/>
        <v>1636428</v>
      </c>
      <c r="I66" s="296">
        <f t="shared" si="27"/>
        <v>1636428</v>
      </c>
      <c r="J66" s="296">
        <f t="shared" si="27"/>
        <v>1636428</v>
      </c>
      <c r="K66" s="296">
        <f t="shared" si="27"/>
        <v>1636428</v>
      </c>
      <c r="L66" s="296">
        <f t="shared" si="27"/>
        <v>1636428</v>
      </c>
      <c r="M66" s="296">
        <f t="shared" si="27"/>
        <v>1636428</v>
      </c>
      <c r="N66" s="296">
        <f t="shared" si="27"/>
        <v>1636428</v>
      </c>
      <c r="O66" s="192"/>
      <c r="P66" s="192"/>
      <c r="Q66" s="192"/>
    </row>
    <row r="67" spans="1:17" hidden="1" outlineLevel="1" x14ac:dyDescent="0.25">
      <c r="A67" s="621"/>
      <c r="B67" s="259" t="s">
        <v>497</v>
      </c>
      <c r="C67" s="245" t="s">
        <v>1</v>
      </c>
      <c r="D67" s="291"/>
      <c r="E67" s="298">
        <f>+E36*E57</f>
        <v>820440.00000000012</v>
      </c>
      <c r="F67" s="298">
        <f t="shared" ref="F67:N67" si="28">+F36*F57</f>
        <v>902484.00000000012</v>
      </c>
      <c r="G67" s="298">
        <f t="shared" si="28"/>
        <v>984528.00000000012</v>
      </c>
      <c r="H67" s="298">
        <f t="shared" si="28"/>
        <v>1017345.6000000001</v>
      </c>
      <c r="I67" s="298">
        <f t="shared" si="28"/>
        <v>1017345.6000000001</v>
      </c>
      <c r="J67" s="298">
        <f t="shared" si="28"/>
        <v>1017345.6000000001</v>
      </c>
      <c r="K67" s="298">
        <f t="shared" si="28"/>
        <v>1017345.6000000001</v>
      </c>
      <c r="L67" s="298">
        <f t="shared" si="28"/>
        <v>1017345.6000000001</v>
      </c>
      <c r="M67" s="298">
        <f t="shared" si="28"/>
        <v>1017345.6000000001</v>
      </c>
      <c r="N67" s="298">
        <f t="shared" si="28"/>
        <v>1017345.6000000001</v>
      </c>
      <c r="O67" s="192"/>
      <c r="P67" s="192"/>
      <c r="Q67" s="192"/>
    </row>
    <row r="68" spans="1:17" hidden="1" outlineLevel="1" x14ac:dyDescent="0.25">
      <c r="A68" s="621"/>
      <c r="B68" s="259" t="s">
        <v>498</v>
      </c>
      <c r="C68" s="245" t="s">
        <v>1</v>
      </c>
      <c r="D68" s="291"/>
      <c r="E68" s="298">
        <f t="shared" ref="E68" si="29">+E37*E58</f>
        <v>136740</v>
      </c>
      <c r="F68" s="298">
        <f t="shared" ref="F68:N68" si="30">+F37*F58</f>
        <v>150414.00000000003</v>
      </c>
      <c r="G68" s="298">
        <f t="shared" si="30"/>
        <v>164088.00000000003</v>
      </c>
      <c r="H68" s="298">
        <f t="shared" si="30"/>
        <v>169557.60000000003</v>
      </c>
      <c r="I68" s="298">
        <f t="shared" si="30"/>
        <v>169557.60000000003</v>
      </c>
      <c r="J68" s="298">
        <f t="shared" si="30"/>
        <v>169557.60000000003</v>
      </c>
      <c r="K68" s="298">
        <f t="shared" si="30"/>
        <v>169557.60000000003</v>
      </c>
      <c r="L68" s="298">
        <f t="shared" si="30"/>
        <v>169557.60000000003</v>
      </c>
      <c r="M68" s="298">
        <f t="shared" si="30"/>
        <v>169557.60000000003</v>
      </c>
      <c r="N68" s="298">
        <f t="shared" si="30"/>
        <v>169557.60000000003</v>
      </c>
      <c r="O68" s="192"/>
      <c r="P68" s="192"/>
      <c r="Q68" s="192"/>
    </row>
    <row r="69" spans="1:17" hidden="1" outlineLevel="1" x14ac:dyDescent="0.25">
      <c r="A69" s="621"/>
      <c r="B69" s="259" t="s">
        <v>463</v>
      </c>
      <c r="C69" s="245" t="s">
        <v>1</v>
      </c>
      <c r="D69" s="291"/>
      <c r="E69" s="298">
        <f>+E38*E59</f>
        <v>325950.00000000006</v>
      </c>
      <c r="F69" s="298">
        <f t="shared" ref="F69:N69" si="31">+F38*F59</f>
        <v>358545.00000000012</v>
      </c>
      <c r="G69" s="298">
        <f t="shared" si="31"/>
        <v>391140.00000000012</v>
      </c>
      <c r="H69" s="298">
        <f t="shared" si="31"/>
        <v>404178.00000000012</v>
      </c>
      <c r="I69" s="298">
        <f t="shared" si="31"/>
        <v>404178.00000000012</v>
      </c>
      <c r="J69" s="298">
        <f t="shared" si="31"/>
        <v>404178.00000000012</v>
      </c>
      <c r="K69" s="298">
        <f t="shared" si="31"/>
        <v>404178.00000000012</v>
      </c>
      <c r="L69" s="298">
        <f t="shared" si="31"/>
        <v>404178.00000000012</v>
      </c>
      <c r="M69" s="298">
        <f t="shared" si="31"/>
        <v>404178.00000000012</v>
      </c>
      <c r="N69" s="298">
        <f t="shared" si="31"/>
        <v>404178.00000000012</v>
      </c>
      <c r="O69" s="192"/>
      <c r="P69" s="192"/>
      <c r="Q69" s="192"/>
    </row>
    <row r="70" spans="1:17" hidden="1" outlineLevel="1" x14ac:dyDescent="0.25">
      <c r="A70" s="618"/>
      <c r="B70" s="261" t="s">
        <v>464</v>
      </c>
      <c r="C70" s="266" t="s">
        <v>1</v>
      </c>
      <c r="D70" s="293"/>
      <c r="E70" s="298">
        <f>+E39*E60</f>
        <v>196100.00000000003</v>
      </c>
      <c r="F70" s="298">
        <f t="shared" ref="F70:N70" si="32">+F39*F60</f>
        <v>215710.00000000006</v>
      </c>
      <c r="G70" s="298">
        <f t="shared" si="32"/>
        <v>235320.00000000006</v>
      </c>
      <c r="H70" s="298">
        <f t="shared" si="32"/>
        <v>243164.00000000006</v>
      </c>
      <c r="I70" s="298">
        <f t="shared" si="32"/>
        <v>243164.00000000006</v>
      </c>
      <c r="J70" s="298">
        <f t="shared" si="32"/>
        <v>243164.00000000006</v>
      </c>
      <c r="K70" s="298">
        <f t="shared" si="32"/>
        <v>243164.00000000006</v>
      </c>
      <c r="L70" s="298">
        <f t="shared" si="32"/>
        <v>243164.00000000006</v>
      </c>
      <c r="M70" s="298">
        <f t="shared" si="32"/>
        <v>243164.00000000006</v>
      </c>
      <c r="N70" s="298">
        <f t="shared" si="32"/>
        <v>243164.00000000006</v>
      </c>
      <c r="O70" s="192"/>
      <c r="P70" s="192"/>
      <c r="Q70" s="192"/>
    </row>
    <row r="71" spans="1:17" hidden="1" outlineLevel="1" x14ac:dyDescent="0.25">
      <c r="A71" s="617" t="s">
        <v>339</v>
      </c>
      <c r="B71" s="255" t="s">
        <v>433</v>
      </c>
      <c r="C71" s="265" t="s">
        <v>1</v>
      </c>
      <c r="D71" s="289"/>
      <c r="E71" s="296">
        <f>+E62*E40</f>
        <v>29944.687500000004</v>
      </c>
      <c r="F71" s="296">
        <f t="shared" ref="F71:N71" si="33">+F62*F40</f>
        <v>29944.6875</v>
      </c>
      <c r="G71" s="296">
        <f t="shared" si="33"/>
        <v>26617.5</v>
      </c>
      <c r="H71" s="296">
        <f t="shared" si="33"/>
        <v>25286.625</v>
      </c>
      <c r="I71" s="296">
        <f t="shared" si="33"/>
        <v>25286.625</v>
      </c>
      <c r="J71" s="296">
        <f t="shared" si="33"/>
        <v>25286.625</v>
      </c>
      <c r="K71" s="296">
        <f t="shared" si="33"/>
        <v>25286.625</v>
      </c>
      <c r="L71" s="296">
        <f t="shared" si="33"/>
        <v>25286.625</v>
      </c>
      <c r="M71" s="296">
        <f t="shared" si="33"/>
        <v>25286.625</v>
      </c>
      <c r="N71" s="297">
        <f t="shared" si="33"/>
        <v>25286.625</v>
      </c>
      <c r="O71" s="192"/>
      <c r="P71" s="192"/>
      <c r="Q71" s="192"/>
    </row>
    <row r="72" spans="1:17" hidden="1" outlineLevel="1" x14ac:dyDescent="0.25">
      <c r="A72" s="618"/>
      <c r="B72" s="261" t="s">
        <v>432</v>
      </c>
      <c r="C72" s="266" t="s">
        <v>1</v>
      </c>
      <c r="D72" s="293"/>
      <c r="E72" s="299">
        <f t="shared" ref="E72:N72" si="34">+E63*E41</f>
        <v>10847.812499999998</v>
      </c>
      <c r="F72" s="299">
        <f t="shared" si="34"/>
        <v>10847.812499999996</v>
      </c>
      <c r="G72" s="299">
        <f t="shared" si="34"/>
        <v>9642.4999999999964</v>
      </c>
      <c r="H72" s="299">
        <f t="shared" si="34"/>
        <v>9160.3749999999964</v>
      </c>
      <c r="I72" s="299">
        <f t="shared" si="34"/>
        <v>9160.3749999999964</v>
      </c>
      <c r="J72" s="299">
        <f t="shared" si="34"/>
        <v>9160.3749999999964</v>
      </c>
      <c r="K72" s="299">
        <f t="shared" si="34"/>
        <v>9160.3749999999964</v>
      </c>
      <c r="L72" s="299">
        <f t="shared" si="34"/>
        <v>9160.3749999999964</v>
      </c>
      <c r="M72" s="299">
        <f t="shared" si="34"/>
        <v>9160.3749999999964</v>
      </c>
      <c r="N72" s="300">
        <f t="shared" si="34"/>
        <v>9160.3749999999964</v>
      </c>
      <c r="O72" s="192"/>
      <c r="P72" s="192"/>
      <c r="Q72" s="192"/>
    </row>
    <row r="73" spans="1:17" hidden="1" outlineLevel="1" x14ac:dyDescent="0.25">
      <c r="A73" s="400"/>
      <c r="B73" s="401"/>
      <c r="C73" s="396"/>
      <c r="D73" s="322"/>
      <c r="E73" s="322"/>
      <c r="F73" s="322"/>
      <c r="G73" s="322"/>
      <c r="H73" s="322"/>
      <c r="I73" s="322"/>
      <c r="J73" s="322"/>
      <c r="K73" s="322"/>
      <c r="L73" s="322"/>
      <c r="M73" s="322"/>
      <c r="N73" s="323"/>
      <c r="O73" s="192"/>
      <c r="P73" s="192"/>
      <c r="Q73" s="192"/>
    </row>
    <row r="74" spans="1:17" hidden="1" outlineLevel="1" x14ac:dyDescent="0.25">
      <c r="A74" s="559" t="s">
        <v>490</v>
      </c>
      <c r="B74" s="403" t="s">
        <v>469</v>
      </c>
      <c r="C74" s="392" t="s">
        <v>1</v>
      </c>
      <c r="D74" s="404"/>
      <c r="E74" s="405">
        <f>-SUM(E76:E80)</f>
        <v>-419839.5</v>
      </c>
      <c r="F74" s="405">
        <f t="shared" ref="F74:N74" si="35">-SUM(F76:F80)</f>
        <v>-461823.44999999995</v>
      </c>
      <c r="G74" s="405">
        <f t="shared" si="35"/>
        <v>-503807.4</v>
      </c>
      <c r="H74" s="405">
        <f t="shared" si="35"/>
        <v>0</v>
      </c>
      <c r="I74" s="405">
        <f t="shared" si="35"/>
        <v>0</v>
      </c>
      <c r="J74" s="405">
        <f t="shared" si="35"/>
        <v>0</v>
      </c>
      <c r="K74" s="405">
        <f t="shared" si="35"/>
        <v>0</v>
      </c>
      <c r="L74" s="405">
        <f t="shared" si="35"/>
        <v>0</v>
      </c>
      <c r="M74" s="405">
        <f t="shared" si="35"/>
        <v>0</v>
      </c>
      <c r="N74" s="405">
        <f t="shared" si="35"/>
        <v>0</v>
      </c>
      <c r="O74" s="192"/>
      <c r="P74" s="192"/>
      <c r="Q74" s="192"/>
    </row>
    <row r="75" spans="1:17" hidden="1" outlineLevel="1" x14ac:dyDescent="0.25">
      <c r="A75" s="402"/>
      <c r="B75" s="411" t="s">
        <v>468</v>
      </c>
      <c r="C75" s="245"/>
      <c r="D75" s="283"/>
      <c r="E75" s="347"/>
      <c r="F75" s="347"/>
      <c r="G75" s="347"/>
      <c r="H75" s="283"/>
      <c r="I75" s="283"/>
      <c r="J75" s="283"/>
      <c r="K75" s="283"/>
      <c r="L75" s="283"/>
      <c r="M75" s="283"/>
      <c r="N75" s="288"/>
      <c r="O75" s="192"/>
      <c r="P75" s="192"/>
      <c r="Q75" s="192"/>
    </row>
    <row r="76" spans="1:17" ht="15" hidden="1" customHeight="1" outlineLevel="1" x14ac:dyDescent="0.25">
      <c r="A76" s="616" t="s">
        <v>285</v>
      </c>
      <c r="B76" s="255" t="s">
        <v>462</v>
      </c>
      <c r="C76" s="265">
        <v>0.15</v>
      </c>
      <c r="D76" s="330"/>
      <c r="E76" s="386">
        <f>+E66*$C$76</f>
        <v>197955</v>
      </c>
      <c r="F76" s="386">
        <f>+F66*$C$76</f>
        <v>217750.5</v>
      </c>
      <c r="G76" s="386">
        <f>+G66*$C$76</f>
        <v>237546</v>
      </c>
      <c r="H76" s="330"/>
      <c r="I76" s="330"/>
      <c r="J76" s="330"/>
      <c r="K76" s="330"/>
      <c r="L76" s="330"/>
      <c r="M76" s="330"/>
      <c r="N76" s="387"/>
      <c r="O76" s="192"/>
      <c r="P76" s="192"/>
      <c r="Q76" s="192"/>
    </row>
    <row r="77" spans="1:17" hidden="1" outlineLevel="1" x14ac:dyDescent="0.25">
      <c r="A77" s="616"/>
      <c r="B77" s="259" t="s">
        <v>497</v>
      </c>
      <c r="C77" s="245">
        <v>0.1</v>
      </c>
      <c r="D77" s="283"/>
      <c r="E77" s="347">
        <f t="shared" ref="E77:G77" si="36">+E67*$C$76</f>
        <v>123066.00000000001</v>
      </c>
      <c r="F77" s="347">
        <f t="shared" si="36"/>
        <v>135372.6</v>
      </c>
      <c r="G77" s="347">
        <f t="shared" si="36"/>
        <v>147679.20000000001</v>
      </c>
      <c r="H77" s="283"/>
      <c r="I77" s="283"/>
      <c r="J77" s="283"/>
      <c r="K77" s="283"/>
      <c r="L77" s="283"/>
      <c r="M77" s="283"/>
      <c r="N77" s="288"/>
      <c r="O77" s="192"/>
      <c r="P77" s="192"/>
      <c r="Q77" s="192"/>
    </row>
    <row r="78" spans="1:17" hidden="1" outlineLevel="1" x14ac:dyDescent="0.25">
      <c r="A78" s="616"/>
      <c r="B78" s="259" t="s">
        <v>498</v>
      </c>
      <c r="C78" s="245">
        <v>0.05</v>
      </c>
      <c r="D78" s="283"/>
      <c r="E78" s="347">
        <f t="shared" ref="E78:G78" si="37">+E68*$C$76</f>
        <v>20511</v>
      </c>
      <c r="F78" s="347">
        <f t="shared" si="37"/>
        <v>22562.100000000002</v>
      </c>
      <c r="G78" s="347">
        <f t="shared" si="37"/>
        <v>24613.200000000004</v>
      </c>
      <c r="H78" s="283"/>
      <c r="I78" s="283"/>
      <c r="J78" s="283"/>
      <c r="K78" s="283"/>
      <c r="L78" s="283"/>
      <c r="M78" s="283"/>
      <c r="N78" s="288"/>
      <c r="O78" s="192"/>
      <c r="P78" s="192"/>
      <c r="Q78" s="192"/>
    </row>
    <row r="79" spans="1:17" hidden="1" outlineLevel="1" x14ac:dyDescent="0.25">
      <c r="A79" s="616"/>
      <c r="B79" s="259" t="s">
        <v>463</v>
      </c>
      <c r="C79" s="245">
        <v>0.05</v>
      </c>
      <c r="D79" s="283"/>
      <c r="E79" s="347">
        <f t="shared" ref="E79:G79" si="38">+E69*$C$76</f>
        <v>48892.500000000007</v>
      </c>
      <c r="F79" s="347">
        <f t="shared" si="38"/>
        <v>53781.750000000015</v>
      </c>
      <c r="G79" s="347">
        <f t="shared" si="38"/>
        <v>58671.000000000015</v>
      </c>
      <c r="H79" s="283"/>
      <c r="I79" s="283"/>
      <c r="J79" s="283"/>
      <c r="K79" s="283"/>
      <c r="L79" s="283"/>
      <c r="M79" s="283"/>
      <c r="N79" s="288"/>
      <c r="O79" s="192"/>
      <c r="P79" s="192"/>
      <c r="Q79" s="192"/>
    </row>
    <row r="80" spans="1:17" hidden="1" outlineLevel="1" x14ac:dyDescent="0.25">
      <c r="A80" s="616"/>
      <c r="B80" s="261" t="s">
        <v>464</v>
      </c>
      <c r="C80" s="266">
        <v>0.05</v>
      </c>
      <c r="D80" s="334"/>
      <c r="E80" s="388">
        <f>+E70*$C$76</f>
        <v>29415.000000000004</v>
      </c>
      <c r="F80" s="388">
        <f>+F70*$C$76</f>
        <v>32356.500000000007</v>
      </c>
      <c r="G80" s="388">
        <f>+G70*$C$76</f>
        <v>35298.000000000007</v>
      </c>
      <c r="H80" s="334"/>
      <c r="I80" s="334"/>
      <c r="J80" s="334"/>
      <c r="K80" s="334"/>
      <c r="L80" s="334"/>
      <c r="M80" s="334"/>
      <c r="N80" s="389"/>
      <c r="O80" s="192"/>
      <c r="P80" s="192"/>
      <c r="Q80" s="192"/>
    </row>
    <row r="81" spans="1:17" collapsed="1" x14ac:dyDescent="0.25">
      <c r="A81" s="230"/>
      <c r="B81" s="235"/>
      <c r="C81" s="245"/>
      <c r="D81" s="283"/>
      <c r="E81" s="283"/>
      <c r="F81" s="283"/>
      <c r="G81" s="283"/>
      <c r="H81" s="283"/>
      <c r="I81" s="283"/>
      <c r="J81" s="283"/>
      <c r="K81" s="283"/>
      <c r="L81" s="283"/>
      <c r="M81" s="283"/>
      <c r="N81" s="288"/>
      <c r="O81" s="192"/>
      <c r="P81" s="192"/>
      <c r="Q81" s="192"/>
    </row>
    <row r="82" spans="1:17" ht="18.75" x14ac:dyDescent="0.3">
      <c r="A82" s="277" t="s">
        <v>330</v>
      </c>
      <c r="B82" s="278" t="s">
        <v>500</v>
      </c>
      <c r="C82" s="218" t="s">
        <v>1</v>
      </c>
      <c r="D82" s="279"/>
      <c r="E82" s="280">
        <f t="shared" ref="E82:N82" si="39">-E53*0.02</f>
        <v>-48397.66</v>
      </c>
      <c r="F82" s="280">
        <f t="shared" si="39"/>
        <v>-53155.841</v>
      </c>
      <c r="G82" s="280">
        <f t="shared" si="39"/>
        <v>-57823.372000000003</v>
      </c>
      <c r="H82" s="280">
        <f t="shared" si="39"/>
        <v>-70102.40400000001</v>
      </c>
      <c r="I82" s="280">
        <f t="shared" si="39"/>
        <v>-70102.40400000001</v>
      </c>
      <c r="J82" s="280">
        <f t="shared" si="39"/>
        <v>-70102.40400000001</v>
      </c>
      <c r="K82" s="280">
        <f t="shared" si="39"/>
        <v>-70102.40400000001</v>
      </c>
      <c r="L82" s="280">
        <f t="shared" si="39"/>
        <v>-70102.40400000001</v>
      </c>
      <c r="M82" s="280">
        <f t="shared" si="39"/>
        <v>-70102.40400000001</v>
      </c>
      <c r="N82" s="280">
        <f t="shared" si="39"/>
        <v>-70102.40400000001</v>
      </c>
      <c r="O82" s="192"/>
      <c r="P82" s="192"/>
      <c r="Q82" s="192"/>
    </row>
    <row r="83" spans="1:17" x14ac:dyDescent="0.25">
      <c r="A83" s="230"/>
      <c r="B83" s="235"/>
      <c r="C83" s="245"/>
      <c r="D83" s="283"/>
      <c r="E83" s="283"/>
      <c r="F83" s="283"/>
      <c r="G83" s="283"/>
      <c r="H83" s="283"/>
      <c r="I83" s="283"/>
      <c r="J83" s="283"/>
      <c r="K83" s="283"/>
      <c r="L83" s="283"/>
      <c r="M83" s="283"/>
      <c r="N83" s="288"/>
      <c r="O83" s="192"/>
      <c r="P83" s="192"/>
      <c r="Q83" s="192"/>
    </row>
    <row r="84" spans="1:17" ht="18.75" x14ac:dyDescent="0.3">
      <c r="A84" s="277" t="s">
        <v>331</v>
      </c>
      <c r="B84" s="278" t="s">
        <v>480</v>
      </c>
      <c r="C84" s="218" t="s">
        <v>1</v>
      </c>
      <c r="D84" s="280">
        <f>+D88+D114</f>
        <v>0</v>
      </c>
      <c r="E84" s="280">
        <f>-(E88+E114)*(1+E48)</f>
        <v>-2163540.8679999998</v>
      </c>
      <c r="F84" s="280">
        <f>-(F88+F114)*(1+F48)</f>
        <v>-2163540.8679999998</v>
      </c>
      <c r="G84" s="280">
        <f>-(G88+G114)*(1+G48)</f>
        <v>-2181740.8679999998</v>
      </c>
      <c r="H84" s="280">
        <f>-(H88+H114)*(1+H48)</f>
        <v>-2181740.8679999998</v>
      </c>
      <c r="I84" s="280">
        <f>-(I88+I114)*(1+I48)</f>
        <v>-2181740.8679999998</v>
      </c>
      <c r="J84" s="280">
        <f>-(J88+J114)*(1+J48)</f>
        <v>-2181740.8679999998</v>
      </c>
      <c r="K84" s="280">
        <f>-(K88+K114)*(1+K48)</f>
        <v>-2181740.8679999998</v>
      </c>
      <c r="L84" s="280">
        <f>-(L88+L114)*(1+L48)</f>
        <v>-2181740.8679999998</v>
      </c>
      <c r="M84" s="280">
        <f>-(M88+M114)*(1+M48)</f>
        <v>-2181740.8679999998</v>
      </c>
      <c r="N84" s="280">
        <f>-(N88+N114)*(1+N48)</f>
        <v>-2181740.8679999998</v>
      </c>
      <c r="O84" s="192"/>
      <c r="P84" s="192"/>
      <c r="Q84" s="192"/>
    </row>
    <row r="85" spans="1:17" ht="14.25" customHeight="1" x14ac:dyDescent="0.25">
      <c r="A85" s="301"/>
      <c r="B85" s="302" t="s">
        <v>273</v>
      </c>
      <c r="C85" s="303"/>
      <c r="D85" s="304"/>
      <c r="E85" s="305">
        <f t="shared" ref="E85:N85" si="40">-E84/E53</f>
        <v>0.89406837768602854</v>
      </c>
      <c r="F85" s="305">
        <f t="shared" si="40"/>
        <v>0.81403692512361903</v>
      </c>
      <c r="G85" s="305">
        <f t="shared" si="40"/>
        <v>0.7546224969377433</v>
      </c>
      <c r="H85" s="305">
        <f t="shared" si="40"/>
        <v>0.62244395156548404</v>
      </c>
      <c r="I85" s="305">
        <f t="shared" si="40"/>
        <v>0.62244395156548404</v>
      </c>
      <c r="J85" s="305">
        <f t="shared" si="40"/>
        <v>0.62244395156548404</v>
      </c>
      <c r="K85" s="305">
        <f t="shared" si="40"/>
        <v>0.62244395156548404</v>
      </c>
      <c r="L85" s="305">
        <f t="shared" si="40"/>
        <v>0.62244395156548404</v>
      </c>
      <c r="M85" s="305">
        <f t="shared" si="40"/>
        <v>0.62244395156548404</v>
      </c>
      <c r="N85" s="305">
        <f t="shared" si="40"/>
        <v>0.62244395156548404</v>
      </c>
      <c r="O85" s="192"/>
      <c r="P85" s="192"/>
      <c r="Q85" s="192"/>
    </row>
    <row r="86" spans="1:17" hidden="1" outlineLevel="1" x14ac:dyDescent="0.25">
      <c r="A86" s="306" t="s">
        <v>596</v>
      </c>
      <c r="B86" s="287" t="s">
        <v>625</v>
      </c>
      <c r="C86" s="251" t="s">
        <v>439</v>
      </c>
      <c r="D86" s="283"/>
      <c r="E86" s="307">
        <f>-E84/E29</f>
        <v>173.08326943999998</v>
      </c>
      <c r="F86" s="307">
        <f t="shared" ref="F86:N86" si="41">-F84/F29</f>
        <v>157.34842676363633</v>
      </c>
      <c r="G86" s="307">
        <f t="shared" si="41"/>
        <v>145.44939119999998</v>
      </c>
      <c r="H86" s="307">
        <f t="shared" si="41"/>
        <v>140.75747535483868</v>
      </c>
      <c r="I86" s="307">
        <f t="shared" si="41"/>
        <v>140.75747535483868</v>
      </c>
      <c r="J86" s="307">
        <f t="shared" si="41"/>
        <v>140.75747535483868</v>
      </c>
      <c r="K86" s="307">
        <f t="shared" si="41"/>
        <v>140.75747535483868</v>
      </c>
      <c r="L86" s="307">
        <f t="shared" si="41"/>
        <v>140.75747535483868</v>
      </c>
      <c r="M86" s="307">
        <f t="shared" si="41"/>
        <v>140.75747535483868</v>
      </c>
      <c r="N86" s="307">
        <f t="shared" si="41"/>
        <v>140.75747535483868</v>
      </c>
      <c r="O86" s="192"/>
      <c r="P86" s="192"/>
      <c r="Q86" s="192"/>
    </row>
    <row r="87" spans="1:17" hidden="1" outlineLevel="1" x14ac:dyDescent="0.25">
      <c r="A87" s="230"/>
      <c r="B87" s="281"/>
      <c r="C87" s="229"/>
      <c r="D87" s="283"/>
      <c r="E87" s="283"/>
      <c r="F87" s="283"/>
      <c r="G87" s="283"/>
      <c r="H87" s="283"/>
      <c r="I87" s="283"/>
      <c r="J87" s="283"/>
      <c r="K87" s="283"/>
      <c r="L87" s="283"/>
      <c r="M87" s="283"/>
      <c r="N87" s="288"/>
      <c r="O87" s="192"/>
      <c r="P87" s="192"/>
      <c r="Q87" s="192"/>
    </row>
    <row r="88" spans="1:17" hidden="1" outlineLevel="1" x14ac:dyDescent="0.25">
      <c r="A88" s="308"/>
      <c r="B88" s="309" t="s">
        <v>177</v>
      </c>
      <c r="C88" s="310" t="s">
        <v>1</v>
      </c>
      <c r="D88" s="311"/>
      <c r="E88" s="312">
        <f>+E89+E93+E96</f>
        <v>1739514.068</v>
      </c>
      <c r="F88" s="312">
        <f>+F89+F93+F96</f>
        <v>1739514.068</v>
      </c>
      <c r="G88" s="312">
        <f>+G89+G93+G96</f>
        <v>1739514.068</v>
      </c>
      <c r="H88" s="312">
        <f>+H89+H93+H96</f>
        <v>1739514.068</v>
      </c>
      <c r="I88" s="312">
        <f>+I89+I93+I96</f>
        <v>1739514.068</v>
      </c>
      <c r="J88" s="312">
        <f>+J89+J93+J96</f>
        <v>1739514.068</v>
      </c>
      <c r="K88" s="312">
        <f>+K89+K93+K96</f>
        <v>1739514.068</v>
      </c>
      <c r="L88" s="312">
        <f>+L89+L93+L96</f>
        <v>1739514.068</v>
      </c>
      <c r="M88" s="312">
        <f>+M89+M93+M96</f>
        <v>1739514.068</v>
      </c>
      <c r="N88" s="313">
        <f>+N89+N93+N96</f>
        <v>1739514.068</v>
      </c>
      <c r="O88" s="192"/>
      <c r="P88" s="192"/>
      <c r="Q88" s="192"/>
    </row>
    <row r="89" spans="1:17" hidden="1" outlineLevel="2" x14ac:dyDescent="0.25">
      <c r="A89" s="306" t="s">
        <v>597</v>
      </c>
      <c r="B89" s="287" t="s">
        <v>340</v>
      </c>
      <c r="C89" s="251" t="s">
        <v>1</v>
      </c>
      <c r="D89" s="314"/>
      <c r="E89" s="315">
        <f t="shared" ref="E89:N89" si="42">+E91*E28</f>
        <v>1475000</v>
      </c>
      <c r="F89" s="315">
        <f t="shared" si="42"/>
        <v>1475000</v>
      </c>
      <c r="G89" s="315">
        <f t="shared" si="42"/>
        <v>1475000</v>
      </c>
      <c r="H89" s="315">
        <f t="shared" si="42"/>
        <v>1475000</v>
      </c>
      <c r="I89" s="315">
        <f t="shared" si="42"/>
        <v>1475000</v>
      </c>
      <c r="J89" s="315">
        <f t="shared" si="42"/>
        <v>1475000</v>
      </c>
      <c r="K89" s="315">
        <f t="shared" si="42"/>
        <v>1475000</v>
      </c>
      <c r="L89" s="315">
        <f t="shared" si="42"/>
        <v>1475000</v>
      </c>
      <c r="M89" s="315">
        <f t="shared" si="42"/>
        <v>1475000</v>
      </c>
      <c r="N89" s="316">
        <f t="shared" si="42"/>
        <v>1475000</v>
      </c>
      <c r="O89" s="192"/>
      <c r="P89" s="192"/>
      <c r="Q89" s="192"/>
    </row>
    <row r="90" spans="1:17" hidden="1" outlineLevel="2" x14ac:dyDescent="0.25">
      <c r="A90" s="230"/>
      <c r="B90" s="317" t="s">
        <v>351</v>
      </c>
      <c r="C90" s="318" t="s">
        <v>438</v>
      </c>
      <c r="D90" s="319"/>
      <c r="E90" s="590">
        <f>+E89/E29</f>
        <v>118</v>
      </c>
      <c r="F90" s="590">
        <f t="shared" ref="F90:N90" si="43">+F89/F29</f>
        <v>107.27272727272725</v>
      </c>
      <c r="G90" s="590">
        <f t="shared" si="43"/>
        <v>98.333333333333314</v>
      </c>
      <c r="H90" s="590">
        <f t="shared" si="43"/>
        <v>95.161290322580641</v>
      </c>
      <c r="I90" s="590">
        <f t="shared" si="43"/>
        <v>95.161290322580641</v>
      </c>
      <c r="J90" s="590">
        <f t="shared" si="43"/>
        <v>95.161290322580641</v>
      </c>
      <c r="K90" s="590">
        <f t="shared" si="43"/>
        <v>95.161290322580641</v>
      </c>
      <c r="L90" s="590">
        <f t="shared" si="43"/>
        <v>95.161290322580641</v>
      </c>
      <c r="M90" s="590">
        <f t="shared" si="43"/>
        <v>95.161290322580641</v>
      </c>
      <c r="N90" s="590">
        <f t="shared" si="43"/>
        <v>95.161290322580641</v>
      </c>
      <c r="O90" s="192"/>
      <c r="P90" s="192"/>
      <c r="Q90" s="192"/>
    </row>
    <row r="91" spans="1:17" hidden="1" outlineLevel="2" x14ac:dyDescent="0.25">
      <c r="A91" s="230"/>
      <c r="B91" s="320" t="s">
        <v>287</v>
      </c>
      <c r="C91" s="321" t="s">
        <v>438</v>
      </c>
      <c r="D91" s="322"/>
      <c r="E91" s="445">
        <f>+$C$7/E47</f>
        <v>59</v>
      </c>
      <c r="F91" s="445">
        <f t="shared" ref="F91:N91" si="44">+$C$7/F47</f>
        <v>59</v>
      </c>
      <c r="G91" s="445">
        <f t="shared" si="44"/>
        <v>59</v>
      </c>
      <c r="H91" s="445">
        <f t="shared" si="44"/>
        <v>59</v>
      </c>
      <c r="I91" s="445">
        <f t="shared" si="44"/>
        <v>59</v>
      </c>
      <c r="J91" s="445">
        <f t="shared" si="44"/>
        <v>59</v>
      </c>
      <c r="K91" s="445">
        <f t="shared" si="44"/>
        <v>59</v>
      </c>
      <c r="L91" s="445">
        <f t="shared" si="44"/>
        <v>59</v>
      </c>
      <c r="M91" s="445">
        <f t="shared" si="44"/>
        <v>59</v>
      </c>
      <c r="N91" s="445">
        <f t="shared" si="44"/>
        <v>59</v>
      </c>
      <c r="O91" s="192"/>
      <c r="P91" s="192"/>
      <c r="Q91" s="192"/>
    </row>
    <row r="92" spans="1:17" hidden="1" outlineLevel="2" x14ac:dyDescent="0.25">
      <c r="A92" s="230"/>
      <c r="B92" s="320"/>
      <c r="C92" s="321"/>
      <c r="D92" s="322"/>
      <c r="E92" s="322"/>
      <c r="F92" s="322"/>
      <c r="G92" s="322"/>
      <c r="H92" s="322"/>
      <c r="I92" s="322"/>
      <c r="J92" s="322"/>
      <c r="K92" s="322"/>
      <c r="L92" s="322"/>
      <c r="M92" s="322"/>
      <c r="N92" s="323"/>
      <c r="O92" s="192"/>
      <c r="P92" s="192"/>
      <c r="Q92" s="192"/>
    </row>
    <row r="93" spans="1:17" hidden="1" outlineLevel="2" x14ac:dyDescent="0.25">
      <c r="A93" s="230"/>
      <c r="B93" s="287"/>
      <c r="C93" s="229"/>
      <c r="D93" s="283"/>
      <c r="E93" s="283"/>
      <c r="F93" s="283"/>
      <c r="G93" s="283"/>
      <c r="H93" s="283"/>
      <c r="I93" s="283"/>
      <c r="J93" s="283"/>
      <c r="K93" s="283"/>
      <c r="L93" s="283"/>
      <c r="M93" s="283"/>
      <c r="N93" s="288"/>
      <c r="O93" s="192"/>
      <c r="P93" s="192"/>
      <c r="Q93" s="192"/>
    </row>
    <row r="94" spans="1:17" s="79" customFormat="1" hidden="1" outlineLevel="2" x14ac:dyDescent="0.25">
      <c r="A94" s="400"/>
      <c r="B94" s="324"/>
      <c r="C94" s="321"/>
      <c r="D94" s="322"/>
      <c r="E94" s="322"/>
      <c r="F94" s="322"/>
      <c r="G94" s="322"/>
      <c r="H94" s="322"/>
      <c r="I94" s="322"/>
      <c r="J94" s="322"/>
      <c r="K94" s="322"/>
      <c r="L94" s="322"/>
      <c r="M94" s="322"/>
      <c r="N94" s="323"/>
      <c r="O94" s="196"/>
      <c r="P94" s="196"/>
      <c r="Q94" s="196"/>
    </row>
    <row r="95" spans="1:17" hidden="1" outlineLevel="2" x14ac:dyDescent="0.25">
      <c r="A95" s="230"/>
      <c r="B95" s="324"/>
      <c r="C95" s="321"/>
      <c r="D95" s="322"/>
      <c r="E95" s="322"/>
      <c r="F95" s="322"/>
      <c r="G95" s="322"/>
      <c r="H95" s="322"/>
      <c r="I95" s="322"/>
      <c r="J95" s="322"/>
      <c r="K95" s="322"/>
      <c r="L95" s="322"/>
      <c r="M95" s="322"/>
      <c r="N95" s="323"/>
      <c r="O95" s="192"/>
      <c r="P95" s="192"/>
      <c r="Q95" s="192"/>
    </row>
    <row r="96" spans="1:17" hidden="1" outlineLevel="2" x14ac:dyDescent="0.25">
      <c r="A96" s="306" t="s">
        <v>598</v>
      </c>
      <c r="B96" s="287" t="s">
        <v>341</v>
      </c>
      <c r="C96" s="251" t="s">
        <v>1</v>
      </c>
      <c r="D96" s="283"/>
      <c r="E96" s="315">
        <f>(E100+E102+E104+E106+E108)*13</f>
        <v>264514.06800000003</v>
      </c>
      <c r="F96" s="315">
        <f t="shared" ref="F96:N96" si="45">(F100+F102+F104+F106+F108)*13</f>
        <v>264514.06800000003</v>
      </c>
      <c r="G96" s="315">
        <f t="shared" si="45"/>
        <v>264514.06800000003</v>
      </c>
      <c r="H96" s="315">
        <f t="shared" si="45"/>
        <v>264514.06800000003</v>
      </c>
      <c r="I96" s="315">
        <f t="shared" si="45"/>
        <v>264514.06800000003</v>
      </c>
      <c r="J96" s="315">
        <f t="shared" si="45"/>
        <v>264514.06800000003</v>
      </c>
      <c r="K96" s="315">
        <f t="shared" si="45"/>
        <v>264514.06800000003</v>
      </c>
      <c r="L96" s="315">
        <f t="shared" si="45"/>
        <v>264514.06800000003</v>
      </c>
      <c r="M96" s="315">
        <f t="shared" si="45"/>
        <v>264514.06800000003</v>
      </c>
      <c r="N96" s="316">
        <f t="shared" si="45"/>
        <v>264514.06800000003</v>
      </c>
      <c r="O96" s="192"/>
      <c r="P96" s="192"/>
      <c r="Q96" s="192"/>
    </row>
    <row r="97" spans="1:17" hidden="1" outlineLevel="2" x14ac:dyDescent="0.25">
      <c r="A97" s="306"/>
      <c r="B97" s="317" t="s">
        <v>359</v>
      </c>
      <c r="C97" s="318" t="s">
        <v>439</v>
      </c>
      <c r="D97" s="319"/>
      <c r="E97" s="589">
        <f>+E96/E29</f>
        <v>21.161125440000003</v>
      </c>
      <c r="F97" s="589">
        <f>+F96/F29</f>
        <v>19.237386763636362</v>
      </c>
      <c r="G97" s="589">
        <f>+G96/G29</f>
        <v>17.634271200000001</v>
      </c>
      <c r="H97" s="589">
        <f>+H96/H29</f>
        <v>17.065423741935483</v>
      </c>
      <c r="I97" s="589">
        <f>+I96/I29</f>
        <v>17.065423741935483</v>
      </c>
      <c r="J97" s="589">
        <f>+J96/J29</f>
        <v>17.065423741935483</v>
      </c>
      <c r="K97" s="589">
        <f>+K96/K29</f>
        <v>17.065423741935483</v>
      </c>
      <c r="L97" s="589">
        <f>+L96/L29</f>
        <v>17.065423741935483</v>
      </c>
      <c r="M97" s="589">
        <f>+M96/M29</f>
        <v>17.065423741935483</v>
      </c>
      <c r="N97" s="589">
        <f>+N96/N29</f>
        <v>17.065423741935483</v>
      </c>
      <c r="O97" s="192"/>
      <c r="P97" s="192"/>
      <c r="Q97" s="192"/>
    </row>
    <row r="98" spans="1:17" hidden="1" outlineLevel="2" x14ac:dyDescent="0.25">
      <c r="A98" s="230"/>
      <c r="B98" s="327" t="s">
        <v>344</v>
      </c>
      <c r="C98" s="229"/>
      <c r="D98" s="283"/>
      <c r="E98" s="328">
        <f>+E99+E101+E103+E105+E107</f>
        <v>18</v>
      </c>
      <c r="F98" s="328">
        <f t="shared" ref="F98:N98" si="46">+F99+F101+F103+F105+F107</f>
        <v>18</v>
      </c>
      <c r="G98" s="328">
        <f t="shared" si="46"/>
        <v>18</v>
      </c>
      <c r="H98" s="328">
        <f t="shared" si="46"/>
        <v>18</v>
      </c>
      <c r="I98" s="328">
        <f t="shared" si="46"/>
        <v>18</v>
      </c>
      <c r="J98" s="328">
        <f t="shared" si="46"/>
        <v>18</v>
      </c>
      <c r="K98" s="328">
        <f t="shared" si="46"/>
        <v>18</v>
      </c>
      <c r="L98" s="328">
        <f t="shared" si="46"/>
        <v>18</v>
      </c>
      <c r="M98" s="328">
        <f t="shared" si="46"/>
        <v>18</v>
      </c>
      <c r="N98" s="329">
        <f t="shared" si="46"/>
        <v>18</v>
      </c>
      <c r="O98" s="192"/>
      <c r="P98" s="192"/>
      <c r="Q98" s="192"/>
    </row>
    <row r="99" spans="1:17" hidden="1" outlineLevel="2" x14ac:dyDescent="0.25">
      <c r="A99" s="230"/>
      <c r="B99" s="255" t="s">
        <v>289</v>
      </c>
      <c r="C99" s="214"/>
      <c r="D99" s="330"/>
      <c r="E99" s="331">
        <v>1</v>
      </c>
      <c r="F99" s="331">
        <v>1</v>
      </c>
      <c r="G99" s="331">
        <v>1</v>
      </c>
      <c r="H99" s="331">
        <v>1</v>
      </c>
      <c r="I99" s="331">
        <v>1</v>
      </c>
      <c r="J99" s="331">
        <v>1</v>
      </c>
      <c r="K99" s="331">
        <v>1</v>
      </c>
      <c r="L99" s="331">
        <v>1</v>
      </c>
      <c r="M99" s="331">
        <v>1</v>
      </c>
      <c r="N99" s="332">
        <v>1</v>
      </c>
      <c r="O99" s="192"/>
      <c r="P99" s="192"/>
      <c r="Q99" s="192"/>
    </row>
    <row r="100" spans="1:17" hidden="1" outlineLevel="2" x14ac:dyDescent="0.25">
      <c r="A100" s="230"/>
      <c r="B100" s="261" t="s">
        <v>300</v>
      </c>
      <c r="C100" s="333">
        <f>+'Mano de obra'!I12</f>
        <v>13005.720000000001</v>
      </c>
      <c r="D100" s="334"/>
      <c r="E100" s="335">
        <f>+E99*$C$100/E47</f>
        <v>1300.5720000000001</v>
      </c>
      <c r="F100" s="335">
        <f>+F99*$C$100/F47</f>
        <v>1300.5720000000001</v>
      </c>
      <c r="G100" s="335">
        <f>+G99*$C$100/G47</f>
        <v>1300.5720000000001</v>
      </c>
      <c r="H100" s="335">
        <f>+H99*$C$100/H47</f>
        <v>1300.5720000000001</v>
      </c>
      <c r="I100" s="335">
        <f>+I99*$C$100/I47</f>
        <v>1300.5720000000001</v>
      </c>
      <c r="J100" s="335">
        <f>+J99*$C$100/J47</f>
        <v>1300.5720000000001</v>
      </c>
      <c r="K100" s="335">
        <f>+K99*$C$100/K47</f>
        <v>1300.5720000000001</v>
      </c>
      <c r="L100" s="335">
        <f>+L99*$C$100/L47</f>
        <v>1300.5720000000001</v>
      </c>
      <c r="M100" s="335">
        <f>+M99*$C$100/M47</f>
        <v>1300.5720000000001</v>
      </c>
      <c r="N100" s="336">
        <f>+N99*$C$100/N47</f>
        <v>1300.5720000000001</v>
      </c>
      <c r="O100" s="192"/>
      <c r="P100" s="192"/>
      <c r="Q100" s="192"/>
    </row>
    <row r="101" spans="1:17" hidden="1" outlineLevel="2" x14ac:dyDescent="0.25">
      <c r="A101" s="230"/>
      <c r="B101" s="255" t="s">
        <v>207</v>
      </c>
      <c r="C101" s="214"/>
      <c r="D101" s="330"/>
      <c r="E101" s="331">
        <v>5</v>
      </c>
      <c r="F101" s="331">
        <v>5</v>
      </c>
      <c r="G101" s="331">
        <v>5</v>
      </c>
      <c r="H101" s="331">
        <v>5</v>
      </c>
      <c r="I101" s="331">
        <v>5</v>
      </c>
      <c r="J101" s="331">
        <v>5</v>
      </c>
      <c r="K101" s="331">
        <v>5</v>
      </c>
      <c r="L101" s="331">
        <v>5</v>
      </c>
      <c r="M101" s="331">
        <v>5</v>
      </c>
      <c r="N101" s="332">
        <v>5</v>
      </c>
      <c r="O101" s="192"/>
      <c r="P101" s="192"/>
      <c r="Q101" s="192"/>
    </row>
    <row r="102" spans="1:17" hidden="1" outlineLevel="2" x14ac:dyDescent="0.25">
      <c r="A102" s="230"/>
      <c r="B102" s="261" t="s">
        <v>298</v>
      </c>
      <c r="C102" s="333">
        <f>+'Mano de obra'!I13</f>
        <v>12085.163999999999</v>
      </c>
      <c r="D102" s="334"/>
      <c r="E102" s="335">
        <f>+E101*$C$102/E47</f>
        <v>6042.5819999999994</v>
      </c>
      <c r="F102" s="335">
        <f>+F101*$C$102/F47</f>
        <v>6042.5819999999994</v>
      </c>
      <c r="G102" s="335">
        <f>+G101*$C$102/G47</f>
        <v>6042.5819999999994</v>
      </c>
      <c r="H102" s="335">
        <f>+H101*$C$102/H47</f>
        <v>6042.5819999999994</v>
      </c>
      <c r="I102" s="335">
        <f>+I101*$C$102/I47</f>
        <v>6042.5819999999994</v>
      </c>
      <c r="J102" s="335">
        <f>+J101*$C$102/J47</f>
        <v>6042.5819999999994</v>
      </c>
      <c r="K102" s="335">
        <f>+K101*$C$102/K47</f>
        <v>6042.5819999999994</v>
      </c>
      <c r="L102" s="335">
        <f>+L101*$C$102/L47</f>
        <v>6042.5819999999994</v>
      </c>
      <c r="M102" s="335">
        <f>+M101*$C$102/M47</f>
        <v>6042.5819999999994</v>
      </c>
      <c r="N102" s="336">
        <f>+N101*$C$102/N47</f>
        <v>6042.5819999999994</v>
      </c>
      <c r="O102" s="192"/>
      <c r="P102" s="192"/>
      <c r="Q102" s="192"/>
    </row>
    <row r="103" spans="1:17" hidden="1" outlineLevel="2" x14ac:dyDescent="0.25">
      <c r="A103" s="230"/>
      <c r="B103" s="255" t="s">
        <v>290</v>
      </c>
      <c r="C103" s="214"/>
      <c r="D103" s="330"/>
      <c r="E103" s="331">
        <v>3</v>
      </c>
      <c r="F103" s="331">
        <v>3</v>
      </c>
      <c r="G103" s="331">
        <v>3</v>
      </c>
      <c r="H103" s="331">
        <v>3</v>
      </c>
      <c r="I103" s="331">
        <v>3</v>
      </c>
      <c r="J103" s="331">
        <v>3</v>
      </c>
      <c r="K103" s="331">
        <v>3</v>
      </c>
      <c r="L103" s="331">
        <v>3</v>
      </c>
      <c r="M103" s="331">
        <v>3</v>
      </c>
      <c r="N103" s="332">
        <v>3</v>
      </c>
      <c r="O103" s="192"/>
      <c r="P103" s="192"/>
      <c r="Q103" s="192"/>
    </row>
    <row r="104" spans="1:17" hidden="1" outlineLevel="2" x14ac:dyDescent="0.25">
      <c r="A104" s="230"/>
      <c r="B104" s="261" t="s">
        <v>301</v>
      </c>
      <c r="C104" s="333">
        <f>+'Mano de obra'!I14</f>
        <v>10699.415999999999</v>
      </c>
      <c r="D104" s="334"/>
      <c r="E104" s="335">
        <f>+E103*$C$104/E47</f>
        <v>3209.8247999999999</v>
      </c>
      <c r="F104" s="335">
        <f>+F103*$C$104/F47</f>
        <v>3209.8247999999999</v>
      </c>
      <c r="G104" s="335">
        <f>+G103*$C$104/G47</f>
        <v>3209.8247999999999</v>
      </c>
      <c r="H104" s="335">
        <f>+H103*$C$104/H47</f>
        <v>3209.8247999999999</v>
      </c>
      <c r="I104" s="335">
        <f>+I103*$C$104/I47</f>
        <v>3209.8247999999999</v>
      </c>
      <c r="J104" s="335">
        <f>+J103*$C$104/J47</f>
        <v>3209.8247999999999</v>
      </c>
      <c r="K104" s="335">
        <f>+K103*$C$104/K47</f>
        <v>3209.8247999999999</v>
      </c>
      <c r="L104" s="335">
        <f>+L103*$C$104/L47</f>
        <v>3209.8247999999999</v>
      </c>
      <c r="M104" s="335">
        <f>+M103*$C$104/M47</f>
        <v>3209.8247999999999</v>
      </c>
      <c r="N104" s="336">
        <f>+N103*$C$104/N47</f>
        <v>3209.8247999999999</v>
      </c>
      <c r="O104" s="192"/>
      <c r="P104" s="192"/>
      <c r="Q104" s="192"/>
    </row>
    <row r="105" spans="1:17" hidden="1" outlineLevel="2" x14ac:dyDescent="0.25">
      <c r="A105" s="230"/>
      <c r="B105" s="255" t="s">
        <v>100</v>
      </c>
      <c r="C105" s="214"/>
      <c r="D105" s="330"/>
      <c r="E105" s="331">
        <v>7</v>
      </c>
      <c r="F105" s="331">
        <v>7</v>
      </c>
      <c r="G105" s="331">
        <v>7</v>
      </c>
      <c r="H105" s="331">
        <v>7</v>
      </c>
      <c r="I105" s="331">
        <v>7</v>
      </c>
      <c r="J105" s="331">
        <v>7</v>
      </c>
      <c r="K105" s="331">
        <v>7</v>
      </c>
      <c r="L105" s="331">
        <v>7</v>
      </c>
      <c r="M105" s="331">
        <v>7</v>
      </c>
      <c r="N105" s="332">
        <v>7</v>
      </c>
      <c r="O105" s="192"/>
      <c r="P105" s="192"/>
      <c r="Q105" s="192"/>
    </row>
    <row r="106" spans="1:17" hidden="1" outlineLevel="2" x14ac:dyDescent="0.25">
      <c r="A106" s="230"/>
      <c r="B106" s="261" t="s">
        <v>302</v>
      </c>
      <c r="C106" s="333">
        <f>+'Mano de obra'!I15</f>
        <v>10538.892</v>
      </c>
      <c r="D106" s="334"/>
      <c r="E106" s="335">
        <f>+E105*$C$106/E47</f>
        <v>7377.224400000001</v>
      </c>
      <c r="F106" s="335">
        <f>+F105*$C$106/F47</f>
        <v>7377.224400000001</v>
      </c>
      <c r="G106" s="335">
        <f>+G105*$C$106/G47</f>
        <v>7377.224400000001</v>
      </c>
      <c r="H106" s="335">
        <f>+H105*$C$106/H47</f>
        <v>7377.224400000001</v>
      </c>
      <c r="I106" s="335">
        <f>+I105*$C$106/I47</f>
        <v>7377.224400000001</v>
      </c>
      <c r="J106" s="335">
        <f>+J105*$C$106/J47</f>
        <v>7377.224400000001</v>
      </c>
      <c r="K106" s="335">
        <f>+K105*$C$106/K47</f>
        <v>7377.224400000001</v>
      </c>
      <c r="L106" s="335">
        <f>+L105*$C$106/L47</f>
        <v>7377.224400000001</v>
      </c>
      <c r="M106" s="335">
        <f>+M105*$C$106/M47</f>
        <v>7377.224400000001</v>
      </c>
      <c r="N106" s="336">
        <f>+N105*$C$106/N47</f>
        <v>7377.224400000001</v>
      </c>
      <c r="O106" s="192"/>
      <c r="P106" s="192"/>
      <c r="Q106" s="192"/>
    </row>
    <row r="107" spans="1:17" s="6" customFormat="1" hidden="1" outlineLevel="2" x14ac:dyDescent="0.25">
      <c r="A107" s="230"/>
      <c r="B107" s="255" t="s">
        <v>291</v>
      </c>
      <c r="C107" s="214"/>
      <c r="D107" s="330"/>
      <c r="E107" s="331">
        <v>2</v>
      </c>
      <c r="F107" s="331">
        <v>2</v>
      </c>
      <c r="G107" s="331">
        <v>2</v>
      </c>
      <c r="H107" s="331">
        <v>2</v>
      </c>
      <c r="I107" s="331">
        <v>2</v>
      </c>
      <c r="J107" s="331">
        <v>2</v>
      </c>
      <c r="K107" s="331">
        <v>2</v>
      </c>
      <c r="L107" s="331">
        <v>2</v>
      </c>
      <c r="M107" s="331">
        <v>2</v>
      </c>
      <c r="N107" s="332">
        <v>2</v>
      </c>
      <c r="O107" s="192"/>
      <c r="P107" s="192"/>
      <c r="Q107" s="192"/>
    </row>
    <row r="108" spans="1:17" s="6" customFormat="1" hidden="1" outlineLevel="2" x14ac:dyDescent="0.25">
      <c r="A108" s="230"/>
      <c r="B108" s="261" t="s">
        <v>299</v>
      </c>
      <c r="C108" s="333">
        <f>+'Mano de obra'!I16</f>
        <v>12085.163999999999</v>
      </c>
      <c r="D108" s="334"/>
      <c r="E108" s="335">
        <f>+E107*$C$108/E47</f>
        <v>2417.0328</v>
      </c>
      <c r="F108" s="335">
        <f>+F107*$C$108/F47</f>
        <v>2417.0328</v>
      </c>
      <c r="G108" s="335">
        <f>+G107*$C$108/G47</f>
        <v>2417.0328</v>
      </c>
      <c r="H108" s="335">
        <f>+H107*$C$108/H47</f>
        <v>2417.0328</v>
      </c>
      <c r="I108" s="335">
        <f>+I107*$C$108/I47</f>
        <v>2417.0328</v>
      </c>
      <c r="J108" s="335">
        <f>+J107*$C$108/J47</f>
        <v>2417.0328</v>
      </c>
      <c r="K108" s="335">
        <f>+K107*$C$108/K47</f>
        <v>2417.0328</v>
      </c>
      <c r="L108" s="335">
        <f>+L107*$C$108/L47</f>
        <v>2417.0328</v>
      </c>
      <c r="M108" s="335">
        <f>+M107*$C$108/M47</f>
        <v>2417.0328</v>
      </c>
      <c r="N108" s="336">
        <f>+N107*$C$108/N47</f>
        <v>2417.0328</v>
      </c>
      <c r="O108" s="192"/>
      <c r="P108" s="192"/>
      <c r="Q108" s="192"/>
    </row>
    <row r="109" spans="1:17" s="6" customFormat="1" hidden="1" outlineLevel="2" x14ac:dyDescent="0.25">
      <c r="A109" s="230"/>
      <c r="B109" s="259"/>
      <c r="C109" s="337"/>
      <c r="D109" s="283"/>
      <c r="E109" s="338"/>
      <c r="F109" s="338"/>
      <c r="G109" s="338"/>
      <c r="H109" s="338"/>
      <c r="I109" s="338"/>
      <c r="J109" s="338"/>
      <c r="K109" s="338"/>
      <c r="L109" s="338"/>
      <c r="M109" s="338"/>
      <c r="N109" s="339"/>
      <c r="O109" s="192"/>
      <c r="P109" s="192"/>
      <c r="Q109" s="192"/>
    </row>
    <row r="110" spans="1:17" s="6" customFormat="1" hidden="1" outlineLevel="2" x14ac:dyDescent="0.25">
      <c r="A110" s="306" t="s">
        <v>602</v>
      </c>
      <c r="B110" s="340" t="s">
        <v>348</v>
      </c>
      <c r="C110" s="222" t="s">
        <v>1</v>
      </c>
      <c r="D110" s="322"/>
      <c r="E110" s="341">
        <f>20000*E24/E47</f>
        <v>2000</v>
      </c>
      <c r="F110" s="341">
        <f>20000*F24/F47</f>
        <v>2000</v>
      </c>
      <c r="G110" s="341">
        <f>20000*G24/G47</f>
        <v>2000</v>
      </c>
      <c r="H110" s="341">
        <f>20000*H24/H47</f>
        <v>2000</v>
      </c>
      <c r="I110" s="341">
        <f>20000*I24/I47</f>
        <v>2000</v>
      </c>
      <c r="J110" s="341">
        <f>20000*J24/J47</f>
        <v>2000</v>
      </c>
      <c r="K110" s="341">
        <f>20000*K24/K47</f>
        <v>2000</v>
      </c>
      <c r="L110" s="341">
        <f>20000*L24/L47</f>
        <v>2000</v>
      </c>
      <c r="M110" s="341">
        <f>20000*M24/M47</f>
        <v>2000</v>
      </c>
      <c r="N110" s="342">
        <f>20000*N24/N47</f>
        <v>2000</v>
      </c>
      <c r="O110" s="192"/>
      <c r="P110" s="192"/>
      <c r="Q110" s="192"/>
    </row>
    <row r="111" spans="1:17" s="6" customFormat="1" hidden="1" outlineLevel="2" x14ac:dyDescent="0.25">
      <c r="A111" s="306"/>
      <c r="B111" s="317" t="s">
        <v>352</v>
      </c>
      <c r="C111" s="318" t="s">
        <v>439</v>
      </c>
      <c r="D111" s="319"/>
      <c r="E111" s="325">
        <f>+E110/E29</f>
        <v>0.16</v>
      </c>
      <c r="F111" s="325">
        <f>+F110/F29</f>
        <v>0.14545454545454545</v>
      </c>
      <c r="G111" s="325">
        <f>+G110/G29</f>
        <v>0.1333333333333333</v>
      </c>
      <c r="H111" s="325">
        <f>+H110/H29</f>
        <v>0.12903225806451613</v>
      </c>
      <c r="I111" s="325">
        <f>+I110/I29</f>
        <v>0.12903225806451613</v>
      </c>
      <c r="J111" s="325">
        <f>+J110/J29</f>
        <v>0.12903225806451613</v>
      </c>
      <c r="K111" s="325">
        <f>+K110/K29</f>
        <v>0.12903225806451613</v>
      </c>
      <c r="L111" s="325">
        <f>+L110/L29</f>
        <v>0.12903225806451613</v>
      </c>
      <c r="M111" s="325">
        <f>+M110/M29</f>
        <v>0.12903225806451613</v>
      </c>
      <c r="N111" s="326">
        <f>+N110/N29</f>
        <v>0.12903225806451613</v>
      </c>
      <c r="O111" s="192"/>
      <c r="P111" s="192"/>
      <c r="Q111" s="192"/>
    </row>
    <row r="112" spans="1:17" s="6" customFormat="1" hidden="1" outlineLevel="2" x14ac:dyDescent="0.25">
      <c r="A112" s="306"/>
      <c r="B112" s="340"/>
      <c r="C112" s="222"/>
      <c r="D112" s="322"/>
      <c r="E112" s="341"/>
      <c r="F112" s="341"/>
      <c r="G112" s="341"/>
      <c r="H112" s="341"/>
      <c r="I112" s="341"/>
      <c r="J112" s="341"/>
      <c r="K112" s="341"/>
      <c r="L112" s="341"/>
      <c r="M112" s="341"/>
      <c r="N112" s="342"/>
      <c r="O112" s="192"/>
      <c r="P112" s="192"/>
      <c r="Q112" s="192"/>
    </row>
    <row r="113" spans="1:17" s="6" customFormat="1" hidden="1" outlineLevel="1" x14ac:dyDescent="0.25">
      <c r="A113" s="230"/>
      <c r="B113" s="281"/>
      <c r="C113" s="229"/>
      <c r="D113" s="283"/>
      <c r="E113" s="283"/>
      <c r="F113" s="283"/>
      <c r="G113" s="283"/>
      <c r="H113" s="283"/>
      <c r="I113" s="283"/>
      <c r="J113" s="283"/>
      <c r="K113" s="283"/>
      <c r="L113" s="283"/>
      <c r="M113" s="283"/>
      <c r="N113" s="288"/>
      <c r="O113" s="192"/>
      <c r="P113" s="192"/>
      <c r="Q113" s="192"/>
    </row>
    <row r="114" spans="1:17" s="6" customFormat="1" hidden="1" outlineLevel="1" x14ac:dyDescent="0.25">
      <c r="A114" s="308"/>
      <c r="B114" s="309" t="s">
        <v>178</v>
      </c>
      <c r="C114" s="310" t="s">
        <v>1</v>
      </c>
      <c r="D114" s="311"/>
      <c r="E114" s="312">
        <f>E115+E134+E140+E152+E146+E156+E159+E110</f>
        <v>424026.8</v>
      </c>
      <c r="F114" s="312">
        <f>+F115+F134+F140+F152+F146+F156+F159+F110</f>
        <v>424026.8</v>
      </c>
      <c r="G114" s="312">
        <f t="shared" ref="G114:N114" si="47">+G115+G134+G140+G152+G146+G156+G159+G110</f>
        <v>442226.8</v>
      </c>
      <c r="H114" s="312">
        <f t="shared" si="47"/>
        <v>442226.8</v>
      </c>
      <c r="I114" s="312">
        <f t="shared" si="47"/>
        <v>442226.8</v>
      </c>
      <c r="J114" s="312">
        <f t="shared" si="47"/>
        <v>442226.8</v>
      </c>
      <c r="K114" s="312">
        <f t="shared" si="47"/>
        <v>442226.8</v>
      </c>
      <c r="L114" s="312">
        <f t="shared" si="47"/>
        <v>442226.8</v>
      </c>
      <c r="M114" s="312">
        <f t="shared" si="47"/>
        <v>442226.8</v>
      </c>
      <c r="N114" s="312">
        <f t="shared" si="47"/>
        <v>442226.8</v>
      </c>
      <c r="O114" s="192"/>
      <c r="P114" s="192"/>
      <c r="Q114" s="192"/>
    </row>
    <row r="115" spans="1:17" s="6" customFormat="1" hidden="1" outlineLevel="2" x14ac:dyDescent="0.25">
      <c r="A115" s="306" t="s">
        <v>598</v>
      </c>
      <c r="B115" s="287" t="s">
        <v>342</v>
      </c>
      <c r="C115" s="251" t="s">
        <v>1</v>
      </c>
      <c r="D115" s="283"/>
      <c r="E115" s="355">
        <f>(E119+E121+E127+E129+E131+E125+E123)*13</f>
        <v>323960</v>
      </c>
      <c r="F115" s="355">
        <f t="shared" ref="F115:N115" si="48">(F119+F121+F127+F129+F131+F125+F123)*13</f>
        <v>323960</v>
      </c>
      <c r="G115" s="355">
        <f t="shared" si="48"/>
        <v>342160</v>
      </c>
      <c r="H115" s="355">
        <f t="shared" si="48"/>
        <v>342160</v>
      </c>
      <c r="I115" s="355">
        <f t="shared" si="48"/>
        <v>342160</v>
      </c>
      <c r="J115" s="355">
        <f t="shared" si="48"/>
        <v>342160</v>
      </c>
      <c r="K115" s="355">
        <f t="shared" si="48"/>
        <v>342160</v>
      </c>
      <c r="L115" s="355">
        <f t="shared" si="48"/>
        <v>342160</v>
      </c>
      <c r="M115" s="355">
        <f t="shared" si="48"/>
        <v>342160</v>
      </c>
      <c r="N115" s="355">
        <f t="shared" si="48"/>
        <v>342160</v>
      </c>
      <c r="O115" s="192"/>
      <c r="P115" s="192"/>
      <c r="Q115" s="192"/>
    </row>
    <row r="116" spans="1:17" s="6" customFormat="1" hidden="1" outlineLevel="2" x14ac:dyDescent="0.25">
      <c r="A116" s="306"/>
      <c r="B116" s="317" t="s">
        <v>360</v>
      </c>
      <c r="C116" s="318" t="s">
        <v>439</v>
      </c>
      <c r="D116" s="319"/>
      <c r="E116" s="325">
        <f>+E115/$E$29</f>
        <v>25.916799999999999</v>
      </c>
      <c r="F116" s="325">
        <f>+F115/$E$29</f>
        <v>25.916799999999999</v>
      </c>
      <c r="G116" s="325">
        <f t="shared" ref="G116:N116" si="49">+G115/$E$29</f>
        <v>27.372800000000002</v>
      </c>
      <c r="H116" s="325">
        <f t="shared" si="49"/>
        <v>27.372800000000002</v>
      </c>
      <c r="I116" s="325">
        <f t="shared" si="49"/>
        <v>27.372800000000002</v>
      </c>
      <c r="J116" s="325">
        <f t="shared" si="49"/>
        <v>27.372800000000002</v>
      </c>
      <c r="K116" s="325">
        <f t="shared" si="49"/>
        <v>27.372800000000002</v>
      </c>
      <c r="L116" s="325">
        <f t="shared" si="49"/>
        <v>27.372800000000002</v>
      </c>
      <c r="M116" s="325">
        <f t="shared" si="49"/>
        <v>27.372800000000002</v>
      </c>
      <c r="N116" s="326">
        <f t="shared" si="49"/>
        <v>27.372800000000002</v>
      </c>
      <c r="O116" s="192"/>
      <c r="P116" s="192"/>
      <c r="Q116" s="192"/>
    </row>
    <row r="117" spans="1:17" s="6" customFormat="1" hidden="1" outlineLevel="2" x14ac:dyDescent="0.25">
      <c r="A117" s="230"/>
      <c r="B117" s="343" t="s">
        <v>345</v>
      </c>
      <c r="C117" s="214"/>
      <c r="D117" s="330"/>
      <c r="E117" s="344">
        <f>+E118+E120+E126+E128+E130+E124+E122</f>
        <v>8</v>
      </c>
      <c r="F117" s="344">
        <f t="shared" ref="F117:N117" si="50">+F118+F120+F126+F128+F130+F124+F122</f>
        <v>8</v>
      </c>
      <c r="G117" s="344">
        <f t="shared" si="50"/>
        <v>9</v>
      </c>
      <c r="H117" s="344">
        <f t="shared" si="50"/>
        <v>9</v>
      </c>
      <c r="I117" s="344">
        <f t="shared" si="50"/>
        <v>9</v>
      </c>
      <c r="J117" s="344">
        <f t="shared" si="50"/>
        <v>9</v>
      </c>
      <c r="K117" s="344">
        <f t="shared" si="50"/>
        <v>9</v>
      </c>
      <c r="L117" s="344">
        <f t="shared" si="50"/>
        <v>9</v>
      </c>
      <c r="M117" s="344">
        <f t="shared" si="50"/>
        <v>9</v>
      </c>
      <c r="N117" s="344">
        <f t="shared" si="50"/>
        <v>9</v>
      </c>
      <c r="O117" s="192"/>
      <c r="P117" s="192"/>
      <c r="Q117" s="192"/>
    </row>
    <row r="118" spans="1:17" s="6" customFormat="1" hidden="1" outlineLevel="2" x14ac:dyDescent="0.25">
      <c r="A118" s="230"/>
      <c r="B118" s="255" t="s">
        <v>292</v>
      </c>
      <c r="C118" s="214"/>
      <c r="D118" s="330"/>
      <c r="E118" s="331">
        <v>1</v>
      </c>
      <c r="F118" s="331">
        <v>1</v>
      </c>
      <c r="G118" s="331">
        <v>1</v>
      </c>
      <c r="H118" s="331">
        <v>1</v>
      </c>
      <c r="I118" s="331">
        <v>1</v>
      </c>
      <c r="J118" s="331">
        <v>1</v>
      </c>
      <c r="K118" s="331">
        <v>1</v>
      </c>
      <c r="L118" s="331">
        <v>1</v>
      </c>
      <c r="M118" s="331">
        <v>1</v>
      </c>
      <c r="N118" s="332">
        <v>1</v>
      </c>
      <c r="O118" s="192"/>
      <c r="P118" s="192"/>
      <c r="Q118" s="192"/>
    </row>
    <row r="119" spans="1:17" s="6" customFormat="1" hidden="1" outlineLevel="2" x14ac:dyDescent="0.25">
      <c r="A119" s="230"/>
      <c r="B119" s="261" t="s">
        <v>303</v>
      </c>
      <c r="C119" s="333">
        <f>+'Mano de obra'!I4</f>
        <v>62999.999999999993</v>
      </c>
      <c r="D119" s="334"/>
      <c r="E119" s="335">
        <f>+E118*$C$119/E47</f>
        <v>6299.9999999999991</v>
      </c>
      <c r="F119" s="335">
        <f>+F118*$C$119/F47</f>
        <v>6299.9999999999991</v>
      </c>
      <c r="G119" s="335">
        <f>+G118*$C$119/G47</f>
        <v>6299.9999999999991</v>
      </c>
      <c r="H119" s="335">
        <f>+H118*$C$119/H47</f>
        <v>6299.9999999999991</v>
      </c>
      <c r="I119" s="335">
        <f>+I118*$C$119/I47</f>
        <v>6299.9999999999991</v>
      </c>
      <c r="J119" s="335">
        <f>+J118*$C$119/J47</f>
        <v>6299.9999999999991</v>
      </c>
      <c r="K119" s="335">
        <f>+K118*$C$119/K47</f>
        <v>6299.9999999999991</v>
      </c>
      <c r="L119" s="335">
        <f>+L118*$C$119/L47</f>
        <v>6299.9999999999991</v>
      </c>
      <c r="M119" s="335">
        <f>+M118*$C$119/M47</f>
        <v>6299.9999999999991</v>
      </c>
      <c r="N119" s="336">
        <f>+N118*$C$119/N47</f>
        <v>6299.9999999999991</v>
      </c>
      <c r="O119" s="192"/>
      <c r="P119" s="192"/>
      <c r="Q119" s="192"/>
    </row>
    <row r="120" spans="1:17" s="6" customFormat="1" hidden="1" outlineLevel="2" x14ac:dyDescent="0.25">
      <c r="A120" s="230"/>
      <c r="B120" s="255" t="s">
        <v>294</v>
      </c>
      <c r="C120" s="214"/>
      <c r="D120" s="330"/>
      <c r="E120" s="331">
        <v>1</v>
      </c>
      <c r="F120" s="331">
        <v>1</v>
      </c>
      <c r="G120" s="331">
        <v>1</v>
      </c>
      <c r="H120" s="331">
        <v>1</v>
      </c>
      <c r="I120" s="331">
        <v>1</v>
      </c>
      <c r="J120" s="331">
        <v>1</v>
      </c>
      <c r="K120" s="331">
        <v>1</v>
      </c>
      <c r="L120" s="331">
        <v>1</v>
      </c>
      <c r="M120" s="331">
        <v>1</v>
      </c>
      <c r="N120" s="332">
        <v>1</v>
      </c>
      <c r="O120" s="192"/>
      <c r="P120" s="192"/>
      <c r="Q120" s="192"/>
    </row>
    <row r="121" spans="1:17" s="6" customFormat="1" hidden="1" outlineLevel="2" x14ac:dyDescent="0.25">
      <c r="A121" s="230"/>
      <c r="B121" s="261" t="s">
        <v>304</v>
      </c>
      <c r="C121" s="333">
        <f>+'Mano de obra'!I5</f>
        <v>49000</v>
      </c>
      <c r="D121" s="334"/>
      <c r="E121" s="335">
        <f>+E120*$C$121/E47</f>
        <v>4900</v>
      </c>
      <c r="F121" s="335">
        <f>+F120*$C$121/F47</f>
        <v>4900</v>
      </c>
      <c r="G121" s="335">
        <f>+G120*$C$121/G47</f>
        <v>4900</v>
      </c>
      <c r="H121" s="335">
        <f>+H120*$C$121/H47</f>
        <v>4900</v>
      </c>
      <c r="I121" s="335">
        <f>+I120*$C$121/I47</f>
        <v>4900</v>
      </c>
      <c r="J121" s="335">
        <f>+J120*$C$121/J47</f>
        <v>4900</v>
      </c>
      <c r="K121" s="335">
        <f>+K120*$C$121/K47</f>
        <v>4900</v>
      </c>
      <c r="L121" s="335">
        <f>+L120*$C$121/L47</f>
        <v>4900</v>
      </c>
      <c r="M121" s="335">
        <f>+M120*$C$121/M47</f>
        <v>4900</v>
      </c>
      <c r="N121" s="336">
        <f>+N120*$C$121/N47</f>
        <v>4900</v>
      </c>
      <c r="O121" s="192"/>
      <c r="P121" s="192"/>
      <c r="Q121" s="192"/>
    </row>
    <row r="122" spans="1:17" s="6" customFormat="1" hidden="1" outlineLevel="2" x14ac:dyDescent="0.25">
      <c r="A122" s="230"/>
      <c r="B122" s="255" t="s">
        <v>566</v>
      </c>
      <c r="C122" s="214"/>
      <c r="D122" s="330"/>
      <c r="E122" s="331">
        <v>1</v>
      </c>
      <c r="F122" s="331">
        <v>1</v>
      </c>
      <c r="G122" s="331">
        <v>1</v>
      </c>
      <c r="H122" s="331">
        <v>1</v>
      </c>
      <c r="I122" s="331">
        <v>1</v>
      </c>
      <c r="J122" s="331">
        <v>1</v>
      </c>
      <c r="K122" s="331">
        <v>1</v>
      </c>
      <c r="L122" s="331">
        <v>1</v>
      </c>
      <c r="M122" s="331">
        <v>1</v>
      </c>
      <c r="N122" s="332">
        <v>1</v>
      </c>
      <c r="O122" s="192"/>
      <c r="P122" s="192"/>
      <c r="Q122" s="192"/>
    </row>
    <row r="123" spans="1:17" s="6" customFormat="1" hidden="1" outlineLevel="2" x14ac:dyDescent="0.25">
      <c r="A123" s="230"/>
      <c r="B123" s="261" t="s">
        <v>304</v>
      </c>
      <c r="C123" s="333">
        <f>+'Mano de obra'!I6</f>
        <v>49000</v>
      </c>
      <c r="D123" s="334"/>
      <c r="E123" s="335">
        <f>+E122*$C$123/E47</f>
        <v>4900</v>
      </c>
      <c r="F123" s="335">
        <f>+F122*$C$123/F47</f>
        <v>4900</v>
      </c>
      <c r="G123" s="335">
        <f>+G122*$C$123/G47</f>
        <v>4900</v>
      </c>
      <c r="H123" s="335">
        <f>+H122*$C$123/H47</f>
        <v>4900</v>
      </c>
      <c r="I123" s="335">
        <f>+I122*$C$123/I47</f>
        <v>4900</v>
      </c>
      <c r="J123" s="335">
        <f>+J122*$C$123/J47</f>
        <v>4900</v>
      </c>
      <c r="K123" s="335">
        <f>+K122*$C$123/K47</f>
        <v>4900</v>
      </c>
      <c r="L123" s="335">
        <f>+L122*$C$123/L47</f>
        <v>4900</v>
      </c>
      <c r="M123" s="335">
        <f>+M122*$C$123/M47</f>
        <v>4900</v>
      </c>
      <c r="N123" s="335">
        <f>+N122*$C$123/N47</f>
        <v>4900</v>
      </c>
      <c r="O123" s="192"/>
      <c r="P123" s="192"/>
      <c r="Q123" s="192"/>
    </row>
    <row r="124" spans="1:17" s="6" customFormat="1" hidden="1" outlineLevel="2" x14ac:dyDescent="0.25">
      <c r="A124" s="230"/>
      <c r="B124" s="259" t="s">
        <v>547</v>
      </c>
      <c r="C124" s="337"/>
      <c r="D124" s="283"/>
      <c r="E124" s="338">
        <v>1</v>
      </c>
      <c r="F124" s="338">
        <v>1</v>
      </c>
      <c r="G124" s="338">
        <v>2</v>
      </c>
      <c r="H124" s="338">
        <v>2</v>
      </c>
      <c r="I124" s="338">
        <v>2</v>
      </c>
      <c r="J124" s="338">
        <v>2</v>
      </c>
      <c r="K124" s="338">
        <v>2</v>
      </c>
      <c r="L124" s="338">
        <v>2</v>
      </c>
      <c r="M124" s="338">
        <v>2</v>
      </c>
      <c r="N124" s="338">
        <v>2</v>
      </c>
      <c r="O124" s="192"/>
      <c r="P124" s="192"/>
      <c r="Q124" s="192"/>
    </row>
    <row r="125" spans="1:17" s="6" customFormat="1" hidden="1" outlineLevel="2" x14ac:dyDescent="0.25">
      <c r="A125" s="230"/>
      <c r="B125" s="259" t="s">
        <v>548</v>
      </c>
      <c r="C125" s="337">
        <f>+'Mano de obra'!I7</f>
        <v>14000</v>
      </c>
      <c r="D125" s="283"/>
      <c r="E125" s="338">
        <f>+$C$125*E124/E47</f>
        <v>1400</v>
      </c>
      <c r="F125" s="338">
        <f>+$C$125*F124/F47</f>
        <v>1400</v>
      </c>
      <c r="G125" s="338">
        <f>+$C$125*G124/G47</f>
        <v>2800</v>
      </c>
      <c r="H125" s="338">
        <f>+$C$125*H124/H47</f>
        <v>2800</v>
      </c>
      <c r="I125" s="338">
        <f>+$C$125*I124/I47</f>
        <v>2800</v>
      </c>
      <c r="J125" s="338">
        <f>+$C$125*J124/J47</f>
        <v>2800</v>
      </c>
      <c r="K125" s="338">
        <f>+$C$125*K124/K47</f>
        <v>2800</v>
      </c>
      <c r="L125" s="338">
        <f>+$C$125*L124/L47</f>
        <v>2800</v>
      </c>
      <c r="M125" s="338">
        <f>+$C$125*M124/M47</f>
        <v>2800</v>
      </c>
      <c r="N125" s="338">
        <f>+$C$125*N124/N47</f>
        <v>2800</v>
      </c>
      <c r="O125" s="192"/>
      <c r="P125" s="192"/>
      <c r="Q125" s="192"/>
    </row>
    <row r="126" spans="1:17" s="6" customFormat="1" hidden="1" outlineLevel="2" x14ac:dyDescent="0.25">
      <c r="A126" s="230"/>
      <c r="B126" s="255" t="s">
        <v>295</v>
      </c>
      <c r="C126" s="214"/>
      <c r="D126" s="330"/>
      <c r="E126" s="331">
        <v>1</v>
      </c>
      <c r="F126" s="331">
        <v>1</v>
      </c>
      <c r="G126" s="331">
        <v>1</v>
      </c>
      <c r="H126" s="331">
        <v>1</v>
      </c>
      <c r="I126" s="331">
        <v>1</v>
      </c>
      <c r="J126" s="331">
        <v>1</v>
      </c>
      <c r="K126" s="331">
        <v>1</v>
      </c>
      <c r="L126" s="331">
        <v>1</v>
      </c>
      <c r="M126" s="331">
        <v>1</v>
      </c>
      <c r="N126" s="332">
        <v>1</v>
      </c>
      <c r="O126" s="192"/>
      <c r="P126" s="192"/>
      <c r="Q126" s="192"/>
    </row>
    <row r="127" spans="1:17" hidden="1" outlineLevel="2" x14ac:dyDescent="0.25">
      <c r="A127" s="230"/>
      <c r="B127" s="261" t="s">
        <v>305</v>
      </c>
      <c r="C127" s="333">
        <f>+'Mano de obra'!I8</f>
        <v>28000</v>
      </c>
      <c r="D127" s="334"/>
      <c r="E127" s="335">
        <f>+E126*$C$127/E47</f>
        <v>2800</v>
      </c>
      <c r="F127" s="335">
        <f>+F126*$C$127/F47</f>
        <v>2800</v>
      </c>
      <c r="G127" s="335">
        <f>+G126*$C$127/G47</f>
        <v>2800</v>
      </c>
      <c r="H127" s="335">
        <f>+H126*$C$127/H47</f>
        <v>2800</v>
      </c>
      <c r="I127" s="335">
        <f>+I126*$C$127/I47</f>
        <v>2800</v>
      </c>
      <c r="J127" s="335">
        <f>+J126*$C$127/J47</f>
        <v>2800</v>
      </c>
      <c r="K127" s="335">
        <f>+K126*$C$127/K47</f>
        <v>2800</v>
      </c>
      <c r="L127" s="335">
        <f>+L126*$C$127/L47</f>
        <v>2800</v>
      </c>
      <c r="M127" s="335">
        <f>+M126*$C$127/M47</f>
        <v>2800</v>
      </c>
      <c r="N127" s="336">
        <f>+N126*$C$127/N47</f>
        <v>2800</v>
      </c>
      <c r="O127" s="192"/>
      <c r="P127" s="192"/>
      <c r="Q127" s="192"/>
    </row>
    <row r="128" spans="1:17" hidden="1" outlineLevel="2" x14ac:dyDescent="0.25">
      <c r="A128" s="230"/>
      <c r="B128" s="255" t="s">
        <v>296</v>
      </c>
      <c r="C128" s="214"/>
      <c r="D128" s="330"/>
      <c r="E128" s="331">
        <v>1</v>
      </c>
      <c r="F128" s="331">
        <v>1</v>
      </c>
      <c r="G128" s="331">
        <v>1</v>
      </c>
      <c r="H128" s="331">
        <v>1</v>
      </c>
      <c r="I128" s="331">
        <v>1</v>
      </c>
      <c r="J128" s="331">
        <v>1</v>
      </c>
      <c r="K128" s="331">
        <v>1</v>
      </c>
      <c r="L128" s="331">
        <v>1</v>
      </c>
      <c r="M128" s="331">
        <v>1</v>
      </c>
      <c r="N128" s="332">
        <v>1</v>
      </c>
      <c r="O128" s="192"/>
      <c r="P128" s="192"/>
      <c r="Q128" s="192"/>
    </row>
    <row r="129" spans="1:17" hidden="1" outlineLevel="2" x14ac:dyDescent="0.25">
      <c r="A129" s="230"/>
      <c r="B129" s="261" t="s">
        <v>306</v>
      </c>
      <c r="C129" s="333">
        <f>+'Mano de obra'!I9</f>
        <v>21000</v>
      </c>
      <c r="D129" s="334"/>
      <c r="E129" s="335">
        <f>+E128*$C$129/E47</f>
        <v>2100</v>
      </c>
      <c r="F129" s="335">
        <f>+F128*$C$129/F47</f>
        <v>2100</v>
      </c>
      <c r="G129" s="335">
        <f>+G128*$C$129/G47</f>
        <v>2100</v>
      </c>
      <c r="H129" s="335">
        <f>+H128*$C$129/H47</f>
        <v>2100</v>
      </c>
      <c r="I129" s="335">
        <f>+I128*$C$129/I47</f>
        <v>2100</v>
      </c>
      <c r="J129" s="335">
        <f>+J128*$C$129/J47</f>
        <v>2100</v>
      </c>
      <c r="K129" s="335">
        <f>+K128*$C$129/K47</f>
        <v>2100</v>
      </c>
      <c r="L129" s="335">
        <f>+L128*$C$129/L47</f>
        <v>2100</v>
      </c>
      <c r="M129" s="335">
        <f>+M128*$C$129/M47</f>
        <v>2100</v>
      </c>
      <c r="N129" s="336">
        <f>+N128*$C$129/N47</f>
        <v>2100</v>
      </c>
      <c r="O129" s="192"/>
      <c r="P129" s="192"/>
      <c r="Q129" s="192"/>
    </row>
    <row r="130" spans="1:17" hidden="1" outlineLevel="2" x14ac:dyDescent="0.25">
      <c r="A130" s="230"/>
      <c r="B130" s="255" t="s">
        <v>297</v>
      </c>
      <c r="C130" s="214"/>
      <c r="D130" s="330"/>
      <c r="E130" s="331">
        <v>2</v>
      </c>
      <c r="F130" s="331">
        <v>2</v>
      </c>
      <c r="G130" s="331">
        <v>2</v>
      </c>
      <c r="H130" s="331">
        <v>2</v>
      </c>
      <c r="I130" s="331">
        <v>2</v>
      </c>
      <c r="J130" s="331">
        <v>2</v>
      </c>
      <c r="K130" s="331">
        <v>2</v>
      </c>
      <c r="L130" s="331">
        <v>2</v>
      </c>
      <c r="M130" s="331">
        <v>2</v>
      </c>
      <c r="N130" s="332">
        <v>2</v>
      </c>
      <c r="O130" s="192"/>
      <c r="P130" s="192"/>
      <c r="Q130" s="192"/>
    </row>
    <row r="131" spans="1:17" hidden="1" outlineLevel="2" x14ac:dyDescent="0.25">
      <c r="A131" s="230"/>
      <c r="B131" s="261" t="s">
        <v>307</v>
      </c>
      <c r="C131" s="333">
        <f>+'Mano de obra'!I10</f>
        <v>12600</v>
      </c>
      <c r="D131" s="334"/>
      <c r="E131" s="335">
        <f>+E130*$C$131/E47</f>
        <v>2520</v>
      </c>
      <c r="F131" s="335">
        <f>+F130*$C$131/F47</f>
        <v>2520</v>
      </c>
      <c r="G131" s="335">
        <f>+G130*$C$131/G47</f>
        <v>2520</v>
      </c>
      <c r="H131" s="335">
        <f>+H130*$C$131/H47</f>
        <v>2520</v>
      </c>
      <c r="I131" s="335">
        <f>+I130*$C$131/I47</f>
        <v>2520</v>
      </c>
      <c r="J131" s="335">
        <f>+J130*$C$131/J47</f>
        <v>2520</v>
      </c>
      <c r="K131" s="335">
        <f>+K130*$C$131/K47</f>
        <v>2520</v>
      </c>
      <c r="L131" s="335">
        <f>+L130*$C$131/L47</f>
        <v>2520</v>
      </c>
      <c r="M131" s="335">
        <f>+M130*$C$131/M47</f>
        <v>2520</v>
      </c>
      <c r="N131" s="336">
        <f>+N130*$C$131/N47</f>
        <v>2520</v>
      </c>
      <c r="O131" s="192"/>
      <c r="P131" s="192"/>
      <c r="Q131" s="192"/>
    </row>
    <row r="132" spans="1:17" hidden="1" outlineLevel="2" x14ac:dyDescent="0.25">
      <c r="A132" s="230"/>
      <c r="B132" s="259"/>
      <c r="C132" s="229"/>
      <c r="D132" s="283"/>
      <c r="E132" s="283"/>
      <c r="F132" s="283"/>
      <c r="G132" s="283"/>
      <c r="H132" s="283"/>
      <c r="I132" s="283"/>
      <c r="J132" s="283"/>
      <c r="K132" s="283"/>
      <c r="L132" s="283"/>
      <c r="M132" s="283"/>
      <c r="N132" s="288"/>
      <c r="O132" s="192"/>
      <c r="P132" s="192"/>
      <c r="Q132" s="192"/>
    </row>
    <row r="133" spans="1:17" hidden="1" outlineLevel="2" x14ac:dyDescent="0.25">
      <c r="A133" s="306" t="s">
        <v>603</v>
      </c>
      <c r="B133" s="554" t="s">
        <v>400</v>
      </c>
      <c r="C133" s="229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8"/>
      <c r="O133" s="192"/>
      <c r="P133" s="192"/>
      <c r="Q133" s="192"/>
    </row>
    <row r="134" spans="1:17" hidden="1" outlineLevel="2" x14ac:dyDescent="0.25">
      <c r="A134" s="230"/>
      <c r="B134" s="287" t="s">
        <v>327</v>
      </c>
      <c r="C134" s="251" t="s">
        <v>1</v>
      </c>
      <c r="D134" s="283"/>
      <c r="E134" s="328">
        <f t="shared" ref="E134:N134" si="51">+$C$136*$C$137*$C$138</f>
        <v>5070</v>
      </c>
      <c r="F134" s="328">
        <f t="shared" si="51"/>
        <v>5070</v>
      </c>
      <c r="G134" s="328">
        <f t="shared" si="51"/>
        <v>5070</v>
      </c>
      <c r="H134" s="328">
        <f t="shared" si="51"/>
        <v>5070</v>
      </c>
      <c r="I134" s="328">
        <f t="shared" si="51"/>
        <v>5070</v>
      </c>
      <c r="J134" s="328">
        <f t="shared" si="51"/>
        <v>5070</v>
      </c>
      <c r="K134" s="328">
        <f t="shared" si="51"/>
        <v>5070</v>
      </c>
      <c r="L134" s="328">
        <f t="shared" si="51"/>
        <v>5070</v>
      </c>
      <c r="M134" s="328">
        <f t="shared" si="51"/>
        <v>5070</v>
      </c>
      <c r="N134" s="329">
        <f t="shared" si="51"/>
        <v>5070</v>
      </c>
      <c r="O134" s="192"/>
      <c r="P134" s="192"/>
      <c r="Q134" s="192"/>
    </row>
    <row r="135" spans="1:17" hidden="1" outlineLevel="2" x14ac:dyDescent="0.25">
      <c r="A135" s="306"/>
      <c r="B135" s="317" t="s">
        <v>355</v>
      </c>
      <c r="C135" s="318" t="s">
        <v>439</v>
      </c>
      <c r="D135" s="319"/>
      <c r="E135" s="589">
        <f>+E134/E29</f>
        <v>0.40560000000000002</v>
      </c>
      <c r="F135" s="589">
        <f>+F134/F29</f>
        <v>0.36872727272727268</v>
      </c>
      <c r="G135" s="589">
        <f>+G134/G29</f>
        <v>0.33799999999999997</v>
      </c>
      <c r="H135" s="589">
        <f>+H134/H29</f>
        <v>0.32709677419354832</v>
      </c>
      <c r="I135" s="589">
        <f>+I134/I29</f>
        <v>0.32709677419354832</v>
      </c>
      <c r="J135" s="589">
        <f>+J134/J29</f>
        <v>0.32709677419354832</v>
      </c>
      <c r="K135" s="589">
        <f>+K134/K29</f>
        <v>0.32709677419354832</v>
      </c>
      <c r="L135" s="589">
        <f>+L134/L29</f>
        <v>0.32709677419354832</v>
      </c>
      <c r="M135" s="589">
        <f>+M134/M29</f>
        <v>0.32709677419354832</v>
      </c>
      <c r="N135" s="589">
        <f>+N134/N29</f>
        <v>0.32709677419354832</v>
      </c>
      <c r="O135" s="192"/>
      <c r="P135" s="192"/>
      <c r="Q135" s="192"/>
    </row>
    <row r="136" spans="1:17" hidden="1" outlineLevel="2" x14ac:dyDescent="0.25">
      <c r="A136" s="230"/>
      <c r="B136" s="259" t="s">
        <v>311</v>
      </c>
      <c r="C136" s="229">
        <v>150</v>
      </c>
      <c r="D136" s="283"/>
      <c r="E136" s="283"/>
      <c r="F136" s="283"/>
      <c r="G136" s="283"/>
      <c r="H136" s="283"/>
      <c r="I136" s="283"/>
      <c r="J136" s="283"/>
      <c r="K136" s="283"/>
      <c r="L136" s="283"/>
      <c r="M136" s="283"/>
      <c r="N136" s="288"/>
      <c r="O136" s="192"/>
      <c r="P136" s="192"/>
      <c r="Q136" s="192"/>
    </row>
    <row r="137" spans="1:17" hidden="1" outlineLevel="2" x14ac:dyDescent="0.25">
      <c r="A137" s="230"/>
      <c r="B137" s="259" t="s">
        <v>313</v>
      </c>
      <c r="C137" s="229">
        <v>26</v>
      </c>
      <c r="D137" s="283"/>
      <c r="E137" s="283"/>
      <c r="F137" s="283"/>
      <c r="G137" s="283"/>
      <c r="H137" s="283"/>
      <c r="I137" s="283"/>
      <c r="J137" s="283"/>
      <c r="K137" s="283"/>
      <c r="L137" s="283"/>
      <c r="M137" s="283"/>
      <c r="N137" s="288"/>
      <c r="O137" s="192"/>
      <c r="P137" s="192"/>
      <c r="Q137" s="192"/>
    </row>
    <row r="138" spans="1:17" hidden="1" outlineLevel="2" x14ac:dyDescent="0.25">
      <c r="A138" s="230"/>
      <c r="B138" s="259" t="s">
        <v>312</v>
      </c>
      <c r="C138" s="345">
        <f>13/D47</f>
        <v>1.3</v>
      </c>
      <c r="D138" s="283"/>
      <c r="E138" s="283"/>
      <c r="F138" s="283"/>
      <c r="G138" s="283"/>
      <c r="H138" s="283"/>
      <c r="I138" s="283"/>
      <c r="J138" s="283"/>
      <c r="K138" s="283"/>
      <c r="L138" s="283"/>
      <c r="M138" s="283"/>
      <c r="N138" s="288"/>
      <c r="O138" s="192"/>
      <c r="P138" s="192"/>
      <c r="Q138" s="192"/>
    </row>
    <row r="139" spans="1:17" hidden="1" outlineLevel="2" x14ac:dyDescent="0.25">
      <c r="A139" s="230"/>
      <c r="B139" s="229"/>
      <c r="C139" s="229"/>
      <c r="D139" s="283"/>
      <c r="E139" s="283"/>
      <c r="F139" s="283"/>
      <c r="G139" s="283"/>
      <c r="H139" s="283"/>
      <c r="I139" s="283"/>
      <c r="J139" s="283"/>
      <c r="K139" s="283"/>
      <c r="L139" s="283"/>
      <c r="M139" s="283"/>
      <c r="N139" s="288"/>
      <c r="O139" s="192"/>
      <c r="P139" s="192"/>
      <c r="Q139" s="192"/>
    </row>
    <row r="140" spans="1:17" hidden="1" outlineLevel="2" x14ac:dyDescent="0.25">
      <c r="A140" s="230"/>
      <c r="B140" s="287" t="s">
        <v>310</v>
      </c>
      <c r="C140" s="251" t="s">
        <v>1</v>
      </c>
      <c r="D140" s="283"/>
      <c r="E140" s="328">
        <f t="shared" ref="E140:N140" si="52">+E142*$C$144*$C$143</f>
        <v>5896.8</v>
      </c>
      <c r="F140" s="328">
        <f t="shared" si="52"/>
        <v>5896.8</v>
      </c>
      <c r="G140" s="328">
        <f t="shared" si="52"/>
        <v>5896.8</v>
      </c>
      <c r="H140" s="328">
        <f t="shared" si="52"/>
        <v>5896.8</v>
      </c>
      <c r="I140" s="328">
        <f t="shared" si="52"/>
        <v>5896.8</v>
      </c>
      <c r="J140" s="328">
        <f t="shared" si="52"/>
        <v>5896.8</v>
      </c>
      <c r="K140" s="328">
        <f t="shared" si="52"/>
        <v>5896.8</v>
      </c>
      <c r="L140" s="328">
        <f t="shared" si="52"/>
        <v>5896.8</v>
      </c>
      <c r="M140" s="328">
        <f t="shared" si="52"/>
        <v>5896.8</v>
      </c>
      <c r="N140" s="329">
        <f t="shared" si="52"/>
        <v>5896.8</v>
      </c>
      <c r="O140" s="192"/>
      <c r="P140" s="192"/>
      <c r="Q140" s="192"/>
    </row>
    <row r="141" spans="1:17" hidden="1" outlineLevel="2" x14ac:dyDescent="0.25">
      <c r="A141" s="306"/>
      <c r="B141" s="317" t="s">
        <v>354</v>
      </c>
      <c r="C141" s="318" t="s">
        <v>439</v>
      </c>
      <c r="D141" s="319"/>
      <c r="E141" s="589">
        <f>+E140/E29</f>
        <v>0.471744</v>
      </c>
      <c r="F141" s="589">
        <f>+F140/F29</f>
        <v>0.42885818181818175</v>
      </c>
      <c r="G141" s="589">
        <f>+G140/G29</f>
        <v>0.39311999999999997</v>
      </c>
      <c r="H141" s="589">
        <f>+H140/H29</f>
        <v>0.38043870967741933</v>
      </c>
      <c r="I141" s="589">
        <f>+I140/I29</f>
        <v>0.38043870967741933</v>
      </c>
      <c r="J141" s="589">
        <f>+J140/J29</f>
        <v>0.38043870967741933</v>
      </c>
      <c r="K141" s="589">
        <f>+K140/K29</f>
        <v>0.38043870967741933</v>
      </c>
      <c r="L141" s="589">
        <f>+L140/L29</f>
        <v>0.38043870967741933</v>
      </c>
      <c r="M141" s="589">
        <f>+M140/M29</f>
        <v>0.38043870967741933</v>
      </c>
      <c r="N141" s="589">
        <f>+N140/N29</f>
        <v>0.38043870967741933</v>
      </c>
      <c r="O141" s="192"/>
      <c r="P141" s="192"/>
      <c r="Q141" s="192"/>
    </row>
    <row r="142" spans="1:17" hidden="1" outlineLevel="2" x14ac:dyDescent="0.25">
      <c r="A142" s="230"/>
      <c r="B142" s="259" t="s">
        <v>311</v>
      </c>
      <c r="C142" s="346">
        <f>+F11</f>
        <v>1512</v>
      </c>
      <c r="D142" s="283"/>
      <c r="E142" s="476">
        <f>+$C$142*E24</f>
        <v>1512</v>
      </c>
      <c r="F142" s="476">
        <f>+$C$142*F24</f>
        <v>1512</v>
      </c>
      <c r="G142" s="476">
        <f>+$C$142*G24</f>
        <v>1512</v>
      </c>
      <c r="H142" s="476">
        <f>+$C$142*H24</f>
        <v>1512</v>
      </c>
      <c r="I142" s="476">
        <f>+$C$142*I24</f>
        <v>1512</v>
      </c>
      <c r="J142" s="476">
        <f>+$C$142*J24</f>
        <v>1512</v>
      </c>
      <c r="K142" s="476">
        <f>+$C$142*K24</f>
        <v>1512</v>
      </c>
      <c r="L142" s="476">
        <f>+$C$142*L24</f>
        <v>1512</v>
      </c>
      <c r="M142" s="476">
        <f>+$C$142*M24</f>
        <v>1512</v>
      </c>
      <c r="N142" s="477">
        <f>+$C$142*N24</f>
        <v>1512</v>
      </c>
      <c r="O142" s="199"/>
      <c r="P142" s="192"/>
      <c r="Q142" s="192"/>
    </row>
    <row r="143" spans="1:17" hidden="1" outlineLevel="2" x14ac:dyDescent="0.25">
      <c r="A143" s="230"/>
      <c r="B143" s="259" t="s">
        <v>441</v>
      </c>
      <c r="C143" s="345">
        <f>13/D47</f>
        <v>1.3</v>
      </c>
      <c r="D143" s="283"/>
      <c r="E143" s="283"/>
      <c r="F143" s="283"/>
      <c r="G143" s="283"/>
      <c r="H143" s="283"/>
      <c r="I143" s="283"/>
      <c r="J143" s="283"/>
      <c r="K143" s="283"/>
      <c r="L143" s="283"/>
      <c r="M143" s="283"/>
      <c r="N143" s="288"/>
      <c r="O143" s="192"/>
      <c r="P143" s="192"/>
      <c r="Q143" s="192"/>
    </row>
    <row r="144" spans="1:17" hidden="1" outlineLevel="2" x14ac:dyDescent="0.25">
      <c r="A144" s="230"/>
      <c r="B144" s="259" t="s">
        <v>440</v>
      </c>
      <c r="C144" s="229">
        <v>3</v>
      </c>
      <c r="D144" s="283"/>
      <c r="E144" s="283"/>
      <c r="F144" s="283"/>
      <c r="G144" s="283"/>
      <c r="H144" s="283"/>
      <c r="I144" s="283"/>
      <c r="J144" s="283"/>
      <c r="K144" s="283"/>
      <c r="L144" s="283"/>
      <c r="M144" s="283"/>
      <c r="N144" s="288"/>
      <c r="O144" s="192"/>
      <c r="P144" s="192"/>
      <c r="Q144" s="192"/>
    </row>
    <row r="145" spans="1:17" hidden="1" outlineLevel="2" x14ac:dyDescent="0.25">
      <c r="A145" s="230"/>
      <c r="B145" s="281"/>
      <c r="C145" s="229"/>
      <c r="D145" s="283"/>
      <c r="E145" s="283"/>
      <c r="F145" s="283"/>
      <c r="G145" s="283"/>
      <c r="H145" s="283"/>
      <c r="I145" s="283"/>
      <c r="J145" s="283"/>
      <c r="K145" s="283"/>
      <c r="L145" s="283"/>
      <c r="M145" s="283"/>
      <c r="N145" s="288"/>
      <c r="O145" s="192"/>
      <c r="P145" s="192"/>
      <c r="Q145" s="192"/>
    </row>
    <row r="146" spans="1:17" hidden="1" outlineLevel="2" x14ac:dyDescent="0.25">
      <c r="A146" s="230"/>
      <c r="B146" s="287" t="s">
        <v>193</v>
      </c>
      <c r="C146" s="251" t="s">
        <v>1</v>
      </c>
      <c r="D146" s="283"/>
      <c r="E146" s="328">
        <f>+$C$150*$C$148*$F$8</f>
        <v>3600</v>
      </c>
      <c r="F146" s="328">
        <f>+$C$150*$C$148*$F$8</f>
        <v>3600</v>
      </c>
      <c r="G146" s="328">
        <f>+$C$150*$C$148*$F$8</f>
        <v>3600</v>
      </c>
      <c r="H146" s="328">
        <f>+$C$150*$C$148*$F$8</f>
        <v>3600</v>
      </c>
      <c r="I146" s="328">
        <f>+$C$150*$C$148*$F$8</f>
        <v>3600</v>
      </c>
      <c r="J146" s="328">
        <f>+$C$150*$C$148*$F$8</f>
        <v>3600</v>
      </c>
      <c r="K146" s="328">
        <f>+$C$150*$C$148*$F$8</f>
        <v>3600</v>
      </c>
      <c r="L146" s="328">
        <f>+$C$150*$C$148*$F$8</f>
        <v>3600</v>
      </c>
      <c r="M146" s="328">
        <f>+$C$150*$C$148*$F$8</f>
        <v>3600</v>
      </c>
      <c r="N146" s="329">
        <f>+$C$150*$C$148*$F$8</f>
        <v>3600</v>
      </c>
      <c r="O146" s="192"/>
      <c r="P146" s="192"/>
      <c r="Q146" s="192"/>
    </row>
    <row r="147" spans="1:17" hidden="1" outlineLevel="2" x14ac:dyDescent="0.25">
      <c r="A147" s="306"/>
      <c r="B147" s="317" t="s">
        <v>353</v>
      </c>
      <c r="C147" s="318" t="s">
        <v>439</v>
      </c>
      <c r="D147" s="319"/>
      <c r="E147" s="589">
        <f>+E146/E29</f>
        <v>0.28799999999999998</v>
      </c>
      <c r="F147" s="589">
        <f>+F146/F29</f>
        <v>0.26181818181818178</v>
      </c>
      <c r="G147" s="589">
        <f>+G146/G29</f>
        <v>0.23999999999999996</v>
      </c>
      <c r="H147" s="589">
        <f>+H146/H29</f>
        <v>0.23225806451612901</v>
      </c>
      <c r="I147" s="589">
        <f>+I146/I29</f>
        <v>0.23225806451612901</v>
      </c>
      <c r="J147" s="589">
        <f>+J146/J29</f>
        <v>0.23225806451612901</v>
      </c>
      <c r="K147" s="589">
        <f>+K146/K29</f>
        <v>0.23225806451612901</v>
      </c>
      <c r="L147" s="589">
        <f>+L146/L29</f>
        <v>0.23225806451612901</v>
      </c>
      <c r="M147" s="589">
        <f>+M146/M29</f>
        <v>0.23225806451612901</v>
      </c>
      <c r="N147" s="589">
        <f>+N146/N29</f>
        <v>0.23225806451612901</v>
      </c>
      <c r="O147" s="192"/>
      <c r="P147" s="192"/>
      <c r="Q147" s="192"/>
    </row>
    <row r="148" spans="1:17" hidden="1" outlineLevel="2" x14ac:dyDescent="0.25">
      <c r="A148" s="230"/>
      <c r="B148" s="259" t="s">
        <v>132</v>
      </c>
      <c r="C148" s="229">
        <v>50</v>
      </c>
      <c r="D148" s="283"/>
      <c r="E148" s="283"/>
      <c r="F148" s="283"/>
      <c r="G148" s="283"/>
      <c r="H148" s="283"/>
      <c r="I148" s="283"/>
      <c r="J148" s="283"/>
      <c r="K148" s="283"/>
      <c r="L148" s="283"/>
      <c r="M148" s="283"/>
      <c r="N148" s="288"/>
      <c r="O148" s="192"/>
      <c r="P148" s="192"/>
      <c r="Q148" s="192"/>
    </row>
    <row r="149" spans="1:17" hidden="1" outlineLevel="2" x14ac:dyDescent="0.25">
      <c r="A149" s="230"/>
      <c r="B149" s="259" t="s">
        <v>441</v>
      </c>
      <c r="C149" s="345">
        <f>13/D47</f>
        <v>1.3</v>
      </c>
      <c r="D149" s="283"/>
      <c r="E149" s="283"/>
      <c r="F149" s="283"/>
      <c r="G149" s="283"/>
      <c r="H149" s="283"/>
      <c r="I149" s="283"/>
      <c r="J149" s="283"/>
      <c r="K149" s="283"/>
      <c r="L149" s="283"/>
      <c r="M149" s="283"/>
      <c r="N149" s="288"/>
      <c r="O149" s="192"/>
      <c r="P149" s="192"/>
      <c r="Q149" s="192"/>
    </row>
    <row r="150" spans="1:17" hidden="1" outlineLevel="2" x14ac:dyDescent="0.25">
      <c r="A150" s="230"/>
      <c r="B150" s="259" t="s">
        <v>442</v>
      </c>
      <c r="C150" s="229">
        <v>0.3</v>
      </c>
      <c r="D150" s="283"/>
      <c r="E150" s="283"/>
      <c r="F150" s="283"/>
      <c r="G150" s="283"/>
      <c r="H150" s="283"/>
      <c r="I150" s="283"/>
      <c r="J150" s="283"/>
      <c r="K150" s="283"/>
      <c r="L150" s="283"/>
      <c r="M150" s="283"/>
      <c r="N150" s="288"/>
      <c r="O150" s="192"/>
      <c r="P150" s="192"/>
      <c r="Q150" s="192"/>
    </row>
    <row r="151" spans="1:17" hidden="1" outlineLevel="2" x14ac:dyDescent="0.25">
      <c r="A151" s="230"/>
      <c r="B151" s="259"/>
      <c r="C151" s="229"/>
      <c r="D151" s="283"/>
      <c r="E151" s="283"/>
      <c r="F151" s="283"/>
      <c r="G151" s="283"/>
      <c r="H151" s="283"/>
      <c r="I151" s="283"/>
      <c r="J151" s="283"/>
      <c r="K151" s="283"/>
      <c r="L151" s="283"/>
      <c r="M151" s="283"/>
      <c r="N151" s="288"/>
      <c r="O151" s="192"/>
      <c r="P151" s="192"/>
      <c r="Q151" s="192"/>
    </row>
    <row r="152" spans="1:17" hidden="1" outlineLevel="2" x14ac:dyDescent="0.25">
      <c r="A152" s="306"/>
      <c r="B152" s="287" t="s">
        <v>192</v>
      </c>
      <c r="C152" s="251" t="s">
        <v>1</v>
      </c>
      <c r="D152" s="283"/>
      <c r="E152" s="347">
        <f>15000/D47</f>
        <v>1500</v>
      </c>
      <c r="F152" s="347">
        <f>15000/E47</f>
        <v>1500</v>
      </c>
      <c r="G152" s="347">
        <f>15000/F47</f>
        <v>1500</v>
      </c>
      <c r="H152" s="347">
        <f>15000/G47</f>
        <v>1500</v>
      </c>
      <c r="I152" s="347">
        <f>15000/H47</f>
        <v>1500</v>
      </c>
      <c r="J152" s="347">
        <f>15000/I47</f>
        <v>1500</v>
      </c>
      <c r="K152" s="347">
        <f>15000/J47</f>
        <v>1500</v>
      </c>
      <c r="L152" s="347">
        <f>15000/K47</f>
        <v>1500</v>
      </c>
      <c r="M152" s="347">
        <f>15000/L47</f>
        <v>1500</v>
      </c>
      <c r="N152" s="348">
        <f>15000/M47</f>
        <v>1500</v>
      </c>
      <c r="O152" s="192"/>
      <c r="P152" s="192"/>
      <c r="Q152" s="192"/>
    </row>
    <row r="153" spans="1:17" hidden="1" outlineLevel="2" x14ac:dyDescent="0.25">
      <c r="A153" s="306"/>
      <c r="B153" s="317" t="s">
        <v>356</v>
      </c>
      <c r="C153" s="318" t="s">
        <v>439</v>
      </c>
      <c r="D153" s="319"/>
      <c r="E153" s="589">
        <f>+E152/E29</f>
        <v>0.12</v>
      </c>
      <c r="F153" s="589">
        <f>+F152/F29</f>
        <v>0.10909090909090907</v>
      </c>
      <c r="G153" s="589">
        <f>+G152/G29</f>
        <v>9.9999999999999992E-2</v>
      </c>
      <c r="H153" s="589">
        <f>+H152/H29</f>
        <v>9.677419354838708E-2</v>
      </c>
      <c r="I153" s="589">
        <f>+I152/I29</f>
        <v>9.677419354838708E-2</v>
      </c>
      <c r="J153" s="589">
        <f>+J152/J29</f>
        <v>9.677419354838708E-2</v>
      </c>
      <c r="K153" s="589">
        <f>+K152/K29</f>
        <v>9.677419354838708E-2</v>
      </c>
      <c r="L153" s="589">
        <f>+L152/L29</f>
        <v>9.677419354838708E-2</v>
      </c>
      <c r="M153" s="589">
        <f>+M152/M29</f>
        <v>9.677419354838708E-2</v>
      </c>
      <c r="N153" s="589">
        <f>+N152/N29</f>
        <v>9.677419354838708E-2</v>
      </c>
      <c r="O153" s="192"/>
      <c r="P153" s="192"/>
      <c r="Q153" s="192"/>
    </row>
    <row r="154" spans="1:17" hidden="1" outlineLevel="2" x14ac:dyDescent="0.25">
      <c r="A154" s="230"/>
      <c r="B154" s="281"/>
      <c r="C154" s="229"/>
      <c r="D154" s="283"/>
      <c r="E154" s="283"/>
      <c r="F154" s="283"/>
      <c r="G154" s="283"/>
      <c r="H154" s="283"/>
      <c r="I154" s="283"/>
      <c r="J154" s="283"/>
      <c r="K154" s="283"/>
      <c r="L154" s="283"/>
      <c r="M154" s="283"/>
      <c r="N154" s="288"/>
      <c r="O154" s="192"/>
      <c r="P154" s="192"/>
      <c r="Q154" s="192"/>
    </row>
    <row r="155" spans="1:17" hidden="1" outlineLevel="2" x14ac:dyDescent="0.25">
      <c r="A155" s="230"/>
      <c r="B155" s="287"/>
      <c r="C155" s="251"/>
      <c r="D155" s="283"/>
      <c r="E155" s="347"/>
      <c r="F155" s="347"/>
      <c r="G155" s="347"/>
      <c r="H155" s="347"/>
      <c r="I155" s="347"/>
      <c r="J155" s="347"/>
      <c r="K155" s="347"/>
      <c r="L155" s="347"/>
      <c r="M155" s="347"/>
      <c r="N155" s="348"/>
      <c r="O155" s="192"/>
      <c r="P155" s="192"/>
      <c r="Q155" s="192"/>
    </row>
    <row r="156" spans="1:17" hidden="1" outlineLevel="2" x14ac:dyDescent="0.25">
      <c r="A156" s="230"/>
      <c r="B156" s="287" t="s">
        <v>135</v>
      </c>
      <c r="C156" s="251" t="s">
        <v>1</v>
      </c>
      <c r="D156" s="283"/>
      <c r="E156" s="347">
        <v>70000</v>
      </c>
      <c r="F156" s="347">
        <v>70000</v>
      </c>
      <c r="G156" s="347">
        <v>70000</v>
      </c>
      <c r="H156" s="347">
        <v>70000</v>
      </c>
      <c r="I156" s="347">
        <v>70000</v>
      </c>
      <c r="J156" s="347">
        <v>70000</v>
      </c>
      <c r="K156" s="347">
        <v>70000</v>
      </c>
      <c r="L156" s="347">
        <v>70000</v>
      </c>
      <c r="M156" s="347">
        <v>70000</v>
      </c>
      <c r="N156" s="347">
        <v>70000</v>
      </c>
      <c r="O156" s="192"/>
      <c r="P156" s="200"/>
      <c r="Q156" s="192"/>
    </row>
    <row r="157" spans="1:17" s="6" customFormat="1" hidden="1" outlineLevel="2" x14ac:dyDescent="0.25">
      <c r="A157" s="306"/>
      <c r="B157" s="317" t="s">
        <v>357</v>
      </c>
      <c r="C157" s="318" t="s">
        <v>439</v>
      </c>
      <c r="D157" s="319"/>
      <c r="E157" s="325">
        <f>+E156/E29</f>
        <v>5.6</v>
      </c>
      <c r="F157" s="325">
        <f>+F156/F29</f>
        <v>5.0909090909090899</v>
      </c>
      <c r="G157" s="325">
        <f>+G156/G29</f>
        <v>4.6666666666666661</v>
      </c>
      <c r="H157" s="325">
        <f>+H156/H29</f>
        <v>4.5161290322580641</v>
      </c>
      <c r="I157" s="325">
        <f>+I156/I29</f>
        <v>4.5161290322580641</v>
      </c>
      <c r="J157" s="325">
        <f>+J156/J29</f>
        <v>4.5161290322580641</v>
      </c>
      <c r="K157" s="325">
        <f>+K156/K29</f>
        <v>4.5161290322580641</v>
      </c>
      <c r="L157" s="325">
        <f>+L156/L29</f>
        <v>4.5161290322580641</v>
      </c>
      <c r="M157" s="325">
        <f>+M156/M29</f>
        <v>4.5161290322580641</v>
      </c>
      <c r="N157" s="325">
        <f>+N156/N29</f>
        <v>4.5161290322580641</v>
      </c>
      <c r="O157" s="192"/>
      <c r="P157" s="192"/>
      <c r="Q157" s="192"/>
    </row>
    <row r="158" spans="1:17" s="6" customFormat="1" hidden="1" outlineLevel="2" x14ac:dyDescent="0.25">
      <c r="A158" s="230"/>
      <c r="B158" s="281"/>
      <c r="C158" s="229"/>
      <c r="D158" s="283"/>
      <c r="E158" s="347"/>
      <c r="F158" s="347"/>
      <c r="G158" s="347"/>
      <c r="H158" s="347"/>
      <c r="I158" s="347"/>
      <c r="J158" s="347"/>
      <c r="K158" s="347"/>
      <c r="L158" s="347"/>
      <c r="M158" s="347"/>
      <c r="N158" s="348"/>
      <c r="O158" s="192"/>
      <c r="P158" s="192"/>
      <c r="Q158" s="192"/>
    </row>
    <row r="159" spans="1:17" s="6" customFormat="1" hidden="1" outlineLevel="2" x14ac:dyDescent="0.25">
      <c r="A159" s="306" t="s">
        <v>607</v>
      </c>
      <c r="B159" s="287" t="s">
        <v>605</v>
      </c>
      <c r="C159" s="251" t="s">
        <v>1</v>
      </c>
      <c r="D159" s="283"/>
      <c r="E159" s="347">
        <v>12000</v>
      </c>
      <c r="F159" s="347">
        <v>12000</v>
      </c>
      <c r="G159" s="347">
        <v>12000</v>
      </c>
      <c r="H159" s="347">
        <v>12000</v>
      </c>
      <c r="I159" s="347">
        <v>12000</v>
      </c>
      <c r="J159" s="347">
        <v>12000</v>
      </c>
      <c r="K159" s="347">
        <v>12000</v>
      </c>
      <c r="L159" s="347">
        <v>12000</v>
      </c>
      <c r="M159" s="347">
        <v>12000</v>
      </c>
      <c r="N159" s="348">
        <v>12000</v>
      </c>
      <c r="O159" s="192"/>
      <c r="P159" s="192"/>
      <c r="Q159" s="192"/>
    </row>
    <row r="160" spans="1:17" s="6" customFormat="1" hidden="1" outlineLevel="2" x14ac:dyDescent="0.25">
      <c r="A160" s="306"/>
      <c r="B160" s="317" t="s">
        <v>358</v>
      </c>
      <c r="C160" s="318" t="s">
        <v>439</v>
      </c>
      <c r="D160" s="319"/>
      <c r="E160" s="325">
        <f>+E159/E29</f>
        <v>0.96</v>
      </c>
      <c r="F160" s="325">
        <f>+F159/F29</f>
        <v>0.87272727272727257</v>
      </c>
      <c r="G160" s="325">
        <f>+G159/G29</f>
        <v>0.79999999999999993</v>
      </c>
      <c r="H160" s="325">
        <f>+H159/H29</f>
        <v>0.77419354838709664</v>
      </c>
      <c r="I160" s="325">
        <f>+I159/I29</f>
        <v>0.77419354838709664</v>
      </c>
      <c r="J160" s="325">
        <f>+J159/J29</f>
        <v>0.77419354838709664</v>
      </c>
      <c r="K160" s="325">
        <f>+K159/K29</f>
        <v>0.77419354838709664</v>
      </c>
      <c r="L160" s="325">
        <f>+L159/L29</f>
        <v>0.77419354838709664</v>
      </c>
      <c r="M160" s="325">
        <f>+M159/M29</f>
        <v>0.77419354838709664</v>
      </c>
      <c r="N160" s="325">
        <f>+N159/N29</f>
        <v>0.77419354838709664</v>
      </c>
      <c r="O160" s="192"/>
      <c r="P160" s="192"/>
      <c r="Q160" s="192"/>
    </row>
    <row r="161" spans="1:17" s="6" customFormat="1" hidden="1" outlineLevel="1" x14ac:dyDescent="0.25">
      <c r="A161" s="230"/>
      <c r="B161" s="281"/>
      <c r="C161" s="229"/>
      <c r="D161" s="283"/>
      <c r="E161" s="347"/>
      <c r="F161" s="347"/>
      <c r="G161" s="347"/>
      <c r="H161" s="347"/>
      <c r="I161" s="347"/>
      <c r="J161" s="347"/>
      <c r="K161" s="347"/>
      <c r="L161" s="347"/>
      <c r="M161" s="347"/>
      <c r="N161" s="348"/>
      <c r="O161" s="192"/>
      <c r="P161" s="192"/>
      <c r="Q161" s="192"/>
    </row>
    <row r="162" spans="1:17" s="6" customFormat="1" collapsed="1" x14ac:dyDescent="0.25">
      <c r="A162" s="230"/>
      <c r="B162" s="235"/>
      <c r="C162" s="229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8"/>
      <c r="O162" s="192"/>
      <c r="P162" s="192"/>
      <c r="Q162" s="192"/>
    </row>
    <row r="163" spans="1:17" s="6" customFormat="1" ht="18.75" x14ac:dyDescent="0.3">
      <c r="A163" s="277" t="s">
        <v>332</v>
      </c>
      <c r="B163" s="278" t="s">
        <v>481</v>
      </c>
      <c r="C163" s="218" t="s">
        <v>1</v>
      </c>
      <c r="D163" s="279"/>
      <c r="E163" s="280">
        <f>+E53+E84+E82</f>
        <v>207944.47200000021</v>
      </c>
      <c r="F163" s="280">
        <f>+F53+F84+F82</f>
        <v>441095.34100000001</v>
      </c>
      <c r="G163" s="280">
        <f>+G53+G84+G82</f>
        <v>651604.36000000034</v>
      </c>
      <c r="H163" s="280">
        <f>+H53+H84+H82</f>
        <v>1253276.9280000003</v>
      </c>
      <c r="I163" s="280">
        <f>+I53+I84+I82</f>
        <v>1253276.9280000003</v>
      </c>
      <c r="J163" s="280">
        <f>+J53+J84+J82</f>
        <v>1253276.9280000003</v>
      </c>
      <c r="K163" s="280">
        <f>+K53+K84+K82</f>
        <v>1253276.9280000003</v>
      </c>
      <c r="L163" s="280">
        <f>+L53+L84+L82</f>
        <v>1253276.9280000003</v>
      </c>
      <c r="M163" s="280">
        <f>+M53+M84+M82</f>
        <v>1253276.9280000003</v>
      </c>
      <c r="N163" s="280">
        <f>+N53+N84+N82</f>
        <v>1253276.9280000003</v>
      </c>
      <c r="O163" s="192"/>
      <c r="P163" s="192"/>
      <c r="Q163" s="192"/>
    </row>
    <row r="164" spans="1:17" s="6" customFormat="1" x14ac:dyDescent="0.25">
      <c r="A164" s="301"/>
      <c r="B164" s="302" t="s">
        <v>272</v>
      </c>
      <c r="C164" s="303"/>
      <c r="D164" s="304"/>
      <c r="E164" s="305">
        <f>+E163/E53</f>
        <v>8.5931622313971459E-2</v>
      </c>
      <c r="F164" s="305">
        <f>+F163/F53</f>
        <v>0.16596307487638096</v>
      </c>
      <c r="G164" s="305">
        <f>+G163/G53</f>
        <v>0.22537750306225665</v>
      </c>
      <c r="H164" s="305">
        <f>+H163/H53</f>
        <v>0.35755604843451594</v>
      </c>
      <c r="I164" s="305">
        <f>+I163/I53</f>
        <v>0.35755604843451594</v>
      </c>
      <c r="J164" s="305">
        <f>+J163/J53</f>
        <v>0.35755604843451594</v>
      </c>
      <c r="K164" s="305">
        <f>+K163/K53</f>
        <v>0.35755604843451594</v>
      </c>
      <c r="L164" s="305">
        <f>+L163/L53</f>
        <v>0.35755604843451594</v>
      </c>
      <c r="M164" s="305">
        <f>+M163/M53</f>
        <v>0.35755604843451594</v>
      </c>
      <c r="N164" s="305">
        <f>+N163/N53</f>
        <v>0.35755604843451594</v>
      </c>
      <c r="O164" s="192"/>
      <c r="P164" s="192"/>
      <c r="Q164" s="192"/>
    </row>
    <row r="165" spans="1:17" s="6" customFormat="1" x14ac:dyDescent="0.25">
      <c r="A165" s="230"/>
      <c r="B165" s="281"/>
      <c r="C165" s="229"/>
      <c r="D165" s="283"/>
      <c r="E165" s="283"/>
      <c r="F165" s="283"/>
      <c r="G165" s="283"/>
      <c r="H165" s="283"/>
      <c r="I165" s="283"/>
      <c r="J165" s="283"/>
      <c r="K165" s="283"/>
      <c r="L165" s="283"/>
      <c r="M165" s="283"/>
      <c r="N165" s="414"/>
      <c r="O165" s="192"/>
      <c r="P165" s="192"/>
      <c r="Q165" s="192"/>
    </row>
    <row r="166" spans="1:17" s="6" customFormat="1" ht="18.75" x14ac:dyDescent="0.3">
      <c r="A166" s="277" t="s">
        <v>333</v>
      </c>
      <c r="B166" s="278" t="s">
        <v>482</v>
      </c>
      <c r="C166" s="218" t="s">
        <v>1</v>
      </c>
      <c r="D166" s="279"/>
      <c r="E166" s="280">
        <f>-SUM(E168:E173)</f>
        <v>-36476.67</v>
      </c>
      <c r="F166" s="280">
        <f t="shared" ref="E166:N166" si="53">-SUM(F168:F173)</f>
        <v>-63435.385999999999</v>
      </c>
      <c r="G166" s="280">
        <f t="shared" si="53"/>
        <v>-107479.424</v>
      </c>
      <c r="H166" s="280">
        <f t="shared" si="53"/>
        <v>-115122.8848</v>
      </c>
      <c r="I166" s="280">
        <f t="shared" si="53"/>
        <v>-115122.8848</v>
      </c>
      <c r="J166" s="280">
        <f t="shared" si="53"/>
        <v>-115122.8848</v>
      </c>
      <c r="K166" s="280">
        <f t="shared" si="53"/>
        <v>-115122.8848</v>
      </c>
      <c r="L166" s="280">
        <f t="shared" si="53"/>
        <v>-115122.8848</v>
      </c>
      <c r="M166" s="280">
        <f t="shared" si="53"/>
        <v>-115122.8848</v>
      </c>
      <c r="N166" s="280">
        <f t="shared" si="53"/>
        <v>-115122.8848</v>
      </c>
      <c r="O166" s="192"/>
      <c r="P166" s="192"/>
      <c r="Q166" s="192"/>
    </row>
    <row r="167" spans="1:17" s="6" customFormat="1" x14ac:dyDescent="0.25">
      <c r="A167" s="301"/>
      <c r="B167" s="302" t="s">
        <v>272</v>
      </c>
      <c r="C167" s="303"/>
      <c r="D167" s="304"/>
      <c r="E167" s="416">
        <f>-E166/E53</f>
        <v>1.5073732903615588E-2</v>
      </c>
      <c r="F167" s="416">
        <f>-F166/F53</f>
        <v>2.3867701011446703E-2</v>
      </c>
      <c r="G167" s="416">
        <f>-G166/G53</f>
        <v>3.717508000052297E-2</v>
      </c>
      <c r="H167" s="416">
        <f>-H166/H53</f>
        <v>3.2844204543969704E-2</v>
      </c>
      <c r="I167" s="416">
        <f>-I166/I53</f>
        <v>3.2844204543969704E-2</v>
      </c>
      <c r="J167" s="416">
        <f>-J166/J53</f>
        <v>3.2844204543969704E-2</v>
      </c>
      <c r="K167" s="416">
        <f>-K166/K53</f>
        <v>3.2844204543969704E-2</v>
      </c>
      <c r="L167" s="416">
        <f>-L166/L53</f>
        <v>3.2844204543969704E-2</v>
      </c>
      <c r="M167" s="416">
        <f>-M166/M53</f>
        <v>3.2844204543969704E-2</v>
      </c>
      <c r="N167" s="416">
        <f>-N166/N53</f>
        <v>3.2844204543969704E-2</v>
      </c>
      <c r="O167" s="192"/>
      <c r="P167" s="192"/>
      <c r="Q167" s="192"/>
    </row>
    <row r="168" spans="1:17" hidden="1" outlineLevel="1" x14ac:dyDescent="0.25">
      <c r="A168" s="306" t="s">
        <v>604</v>
      </c>
      <c r="B168" s="415" t="s">
        <v>367</v>
      </c>
      <c r="C168" s="251" t="s">
        <v>1</v>
      </c>
      <c r="D168" s="283"/>
      <c r="E168" s="347">
        <f>24000/E47</f>
        <v>2400</v>
      </c>
      <c r="F168" s="347">
        <f>24000/F47</f>
        <v>2400</v>
      </c>
      <c r="G168" s="347">
        <f>24000/G47</f>
        <v>2400</v>
      </c>
      <c r="H168" s="347">
        <f>24000/H47</f>
        <v>2400</v>
      </c>
      <c r="I168" s="347">
        <f>24000/I47</f>
        <v>2400</v>
      </c>
      <c r="J168" s="347">
        <f>24000/J47</f>
        <v>2400</v>
      </c>
      <c r="K168" s="347">
        <f>24000/K47</f>
        <v>2400</v>
      </c>
      <c r="L168" s="347">
        <f>24000/L47</f>
        <v>2400</v>
      </c>
      <c r="M168" s="347">
        <f>24000/M47</f>
        <v>2400</v>
      </c>
      <c r="N168" s="347">
        <f>24000/N47</f>
        <v>2400</v>
      </c>
      <c r="O168" s="192"/>
      <c r="P168" s="192"/>
      <c r="Q168" s="192"/>
    </row>
    <row r="169" spans="1:17" hidden="1" outlineLevel="1" x14ac:dyDescent="0.25">
      <c r="A169" s="359"/>
      <c r="B169" s="415" t="s">
        <v>474</v>
      </c>
      <c r="C169" s="245" t="s">
        <v>1</v>
      </c>
      <c r="D169" s="283"/>
      <c r="E169" s="347"/>
      <c r="F169" s="347">
        <v>10000</v>
      </c>
      <c r="G169" s="347">
        <v>10000</v>
      </c>
      <c r="H169" s="347">
        <v>5000</v>
      </c>
      <c r="I169" s="347">
        <v>5000</v>
      </c>
      <c r="J169" s="347">
        <v>5000</v>
      </c>
      <c r="K169" s="347">
        <v>5000</v>
      </c>
      <c r="L169" s="347">
        <v>5000</v>
      </c>
      <c r="M169" s="347">
        <v>5000</v>
      </c>
      <c r="N169" s="348">
        <v>5000</v>
      </c>
      <c r="O169" s="192"/>
      <c r="P169" s="192"/>
      <c r="Q169" s="192"/>
    </row>
    <row r="170" spans="1:17" hidden="1" outlineLevel="1" x14ac:dyDescent="0.25">
      <c r="A170" s="402"/>
      <c r="B170" s="415" t="s">
        <v>473</v>
      </c>
      <c r="C170" s="245" t="s">
        <v>1</v>
      </c>
      <c r="D170" s="283"/>
      <c r="E170" s="347"/>
      <c r="F170" s="347"/>
      <c r="G170" s="347"/>
      <c r="H170" s="347">
        <v>10000</v>
      </c>
      <c r="I170" s="347">
        <v>10000</v>
      </c>
      <c r="J170" s="347">
        <v>10000</v>
      </c>
      <c r="K170" s="347">
        <v>10000</v>
      </c>
      <c r="L170" s="347">
        <v>10000</v>
      </c>
      <c r="M170" s="347">
        <v>10000</v>
      </c>
      <c r="N170" s="348">
        <v>10000</v>
      </c>
      <c r="O170" s="192"/>
      <c r="P170" s="192"/>
      <c r="Q170" s="192"/>
    </row>
    <row r="171" spans="1:17" hidden="1" outlineLevel="1" x14ac:dyDescent="0.25">
      <c r="A171" s="359"/>
      <c r="B171" s="415" t="s">
        <v>472</v>
      </c>
      <c r="C171" s="245" t="s">
        <v>1</v>
      </c>
      <c r="D171" s="283"/>
      <c r="E171" s="347"/>
      <c r="F171" s="347">
        <f>300*12</f>
        <v>3600</v>
      </c>
      <c r="G171" s="347">
        <f t="shared" ref="G171:N171" si="54">300*12</f>
        <v>3600</v>
      </c>
      <c r="H171" s="347">
        <f t="shared" si="54"/>
        <v>3600</v>
      </c>
      <c r="I171" s="347">
        <f t="shared" si="54"/>
        <v>3600</v>
      </c>
      <c r="J171" s="347">
        <f t="shared" si="54"/>
        <v>3600</v>
      </c>
      <c r="K171" s="347">
        <f t="shared" si="54"/>
        <v>3600</v>
      </c>
      <c r="L171" s="347">
        <f t="shared" si="54"/>
        <v>3600</v>
      </c>
      <c r="M171" s="347">
        <f t="shared" si="54"/>
        <v>3600</v>
      </c>
      <c r="N171" s="348">
        <f t="shared" si="54"/>
        <v>3600</v>
      </c>
      <c r="O171" s="192"/>
      <c r="P171" s="192"/>
      <c r="Q171" s="192"/>
    </row>
    <row r="172" spans="1:17" hidden="1" outlineLevel="1" x14ac:dyDescent="0.25">
      <c r="A172" s="515"/>
      <c r="B172" s="415" t="s">
        <v>564</v>
      </c>
      <c r="C172" s="245" t="s">
        <v>1</v>
      </c>
      <c r="D172" s="283"/>
      <c r="E172" s="347"/>
      <c r="F172" s="347">
        <v>10000</v>
      </c>
      <c r="G172" s="347">
        <v>10000</v>
      </c>
      <c r="H172" s="347">
        <v>10000</v>
      </c>
      <c r="I172" s="347">
        <v>10000</v>
      </c>
      <c r="J172" s="347">
        <v>10000</v>
      </c>
      <c r="K172" s="347">
        <v>10000</v>
      </c>
      <c r="L172" s="347">
        <v>10000</v>
      </c>
      <c r="M172" s="347">
        <v>10000</v>
      </c>
      <c r="N172" s="347">
        <v>10000</v>
      </c>
      <c r="O172" s="192"/>
      <c r="P172" s="192"/>
      <c r="Q172" s="192"/>
    </row>
    <row r="173" spans="1:17" hidden="1" outlineLevel="1" x14ac:dyDescent="0.25">
      <c r="A173" s="419"/>
      <c r="B173" s="478" t="s">
        <v>549</v>
      </c>
      <c r="C173" s="245" t="s">
        <v>1</v>
      </c>
      <c r="D173" s="283"/>
      <c r="E173" s="347">
        <f>+E65*0.012*E124</f>
        <v>34076.67</v>
      </c>
      <c r="F173" s="347">
        <f>+F65*0.012*F124</f>
        <v>37435.385999999999</v>
      </c>
      <c r="G173" s="347">
        <f>+G65*0.012*G124</f>
        <v>81479.423999999999</v>
      </c>
      <c r="H173" s="347">
        <f>+H65*0.012*H124</f>
        <v>84122.8848</v>
      </c>
      <c r="I173" s="347">
        <f>+I65*0.012*I124</f>
        <v>84122.8848</v>
      </c>
      <c r="J173" s="347">
        <f>+J65*0.012*J124</f>
        <v>84122.8848</v>
      </c>
      <c r="K173" s="347">
        <f>+K65*0.012*K124</f>
        <v>84122.8848</v>
      </c>
      <c r="L173" s="347">
        <f>+L65*0.012*L124</f>
        <v>84122.8848</v>
      </c>
      <c r="M173" s="347">
        <f>+M65*0.012*M124</f>
        <v>84122.8848</v>
      </c>
      <c r="N173" s="347">
        <f>+N65*0.012*N124</f>
        <v>84122.8848</v>
      </c>
      <c r="O173" s="192"/>
      <c r="P173" s="192"/>
      <c r="Q173" s="192"/>
    </row>
    <row r="174" spans="1:17" s="6" customFormat="1" collapsed="1" x14ac:dyDescent="0.25">
      <c r="A174" s="230"/>
      <c r="B174" s="281"/>
      <c r="C174" s="229"/>
      <c r="D174" s="283"/>
      <c r="E174" s="283"/>
      <c r="F174" s="283"/>
      <c r="G174" s="283"/>
      <c r="H174" s="283"/>
      <c r="I174" s="283"/>
      <c r="J174" s="283"/>
      <c r="K174" s="283"/>
      <c r="L174" s="283"/>
      <c r="M174" s="283"/>
      <c r="N174" s="414"/>
      <c r="O174" s="192"/>
      <c r="P174" s="192"/>
      <c r="Q174" s="192"/>
    </row>
    <row r="175" spans="1:17" s="6" customFormat="1" ht="18.75" x14ac:dyDescent="0.3">
      <c r="A175" s="277"/>
      <c r="B175" s="278" t="s">
        <v>484</v>
      </c>
      <c r="C175" s="218" t="s">
        <v>1</v>
      </c>
      <c r="D175" s="274"/>
      <c r="E175" s="280">
        <f t="shared" ref="E175:N175" si="55">+E163+E166</f>
        <v>171467.8020000002</v>
      </c>
      <c r="F175" s="280">
        <f t="shared" si="55"/>
        <v>377659.95500000002</v>
      </c>
      <c r="G175" s="280">
        <f t="shared" si="55"/>
        <v>544124.93600000034</v>
      </c>
      <c r="H175" s="280">
        <f t="shared" si="55"/>
        <v>1138154.0432000002</v>
      </c>
      <c r="I175" s="280">
        <f t="shared" si="55"/>
        <v>1138154.0432000002</v>
      </c>
      <c r="J175" s="280">
        <f t="shared" si="55"/>
        <v>1138154.0432000002</v>
      </c>
      <c r="K175" s="280">
        <f t="shared" si="55"/>
        <v>1138154.0432000002</v>
      </c>
      <c r="L175" s="280">
        <f t="shared" si="55"/>
        <v>1138154.0432000002</v>
      </c>
      <c r="M175" s="280">
        <f t="shared" si="55"/>
        <v>1138154.0432000002</v>
      </c>
      <c r="N175" s="280">
        <f t="shared" si="55"/>
        <v>1138154.0432000002</v>
      </c>
      <c r="O175" s="192"/>
      <c r="P175" s="192"/>
      <c r="Q175" s="192"/>
    </row>
    <row r="176" spans="1:17" s="6" customFormat="1" ht="18.75" x14ac:dyDescent="0.3">
      <c r="A176" s="277"/>
      <c r="B176" s="278"/>
      <c r="C176" s="218"/>
      <c r="D176" s="274"/>
      <c r="E176" s="305">
        <f>+E175/E53</f>
        <v>7.0857889410355868E-2</v>
      </c>
      <c r="F176" s="305">
        <f>+F175/F53</f>
        <v>0.14209537386493426</v>
      </c>
      <c r="G176" s="305">
        <f>+G175/G53</f>
        <v>0.18820242306173368</v>
      </c>
      <c r="H176" s="305">
        <f>+H175/H53</f>
        <v>0.32471184389054619</v>
      </c>
      <c r="I176" s="305">
        <f>+I175/I53</f>
        <v>0.32471184389054619</v>
      </c>
      <c r="J176" s="305">
        <f>+J175/J53</f>
        <v>0.32471184389054619</v>
      </c>
      <c r="K176" s="305">
        <f>+K175/K53</f>
        <v>0.32471184389054619</v>
      </c>
      <c r="L176" s="305">
        <f>+L175/L53</f>
        <v>0.32471184389054619</v>
      </c>
      <c r="M176" s="305">
        <f>+M175/M53</f>
        <v>0.32471184389054619</v>
      </c>
      <c r="N176" s="305">
        <f>+N175/N53</f>
        <v>0.32471184389054619</v>
      </c>
      <c r="O176" s="192"/>
      <c r="P176" s="192"/>
      <c r="Q176" s="192"/>
    </row>
    <row r="177" spans="1:17" s="6" customFormat="1" x14ac:dyDescent="0.25">
      <c r="A177" s="230"/>
      <c r="B177" s="281"/>
      <c r="C177" s="229"/>
      <c r="D177" s="283"/>
      <c r="E177" s="283"/>
      <c r="F177" s="283"/>
      <c r="G177" s="283"/>
      <c r="H177" s="283"/>
      <c r="I177" s="283"/>
      <c r="J177" s="283"/>
      <c r="K177" s="283"/>
      <c r="L177" s="283"/>
      <c r="M177" s="283"/>
      <c r="N177" s="288"/>
      <c r="O177" s="192"/>
      <c r="P177" s="192"/>
      <c r="Q177" s="192"/>
    </row>
    <row r="178" spans="1:17" s="6" customFormat="1" ht="18.75" x14ac:dyDescent="0.3">
      <c r="A178" s="277" t="s">
        <v>334</v>
      </c>
      <c r="B178" s="278" t="s">
        <v>483</v>
      </c>
      <c r="C178" s="218" t="s">
        <v>1</v>
      </c>
      <c r="D178" s="279"/>
      <c r="E178" s="280">
        <f>-SUM(E180:E181)</f>
        <v>-111915.80226666667</v>
      </c>
      <c r="F178" s="280">
        <f t="shared" ref="F178:N178" si="56">-SUM(F180:F181)</f>
        <v>-111915.80226666667</v>
      </c>
      <c r="G178" s="280">
        <f t="shared" si="56"/>
        <v>-111915.80226666667</v>
      </c>
      <c r="H178" s="280">
        <f t="shared" si="56"/>
        <v>-111915.80226666667</v>
      </c>
      <c r="I178" s="280">
        <f t="shared" si="56"/>
        <v>-111915.80226666667</v>
      </c>
      <c r="J178" s="280">
        <f t="shared" si="56"/>
        <v>-111915.80226666667</v>
      </c>
      <c r="K178" s="280">
        <f t="shared" si="56"/>
        <v>-111915.80226666667</v>
      </c>
      <c r="L178" s="280">
        <f t="shared" si="56"/>
        <v>-111915.80226666667</v>
      </c>
      <c r="M178" s="280">
        <f t="shared" si="56"/>
        <v>-111915.80226666667</v>
      </c>
      <c r="N178" s="280">
        <f t="shared" si="56"/>
        <v>-111915.80226666667</v>
      </c>
      <c r="O178" s="192"/>
      <c r="P178" s="192"/>
      <c r="Q178" s="192"/>
    </row>
    <row r="179" spans="1:17" s="6" customFormat="1" x14ac:dyDescent="0.25">
      <c r="A179" s="301"/>
      <c r="B179" s="302" t="s">
        <v>272</v>
      </c>
      <c r="C179" s="303"/>
      <c r="D179" s="304"/>
      <c r="E179" s="305">
        <f>-E178/E53</f>
        <v>4.6248435261814998E-2</v>
      </c>
      <c r="F179" s="305">
        <f>-F178/F53</f>
        <v>4.2108562355985174E-2</v>
      </c>
      <c r="G179" s="305">
        <f>-G178/G53</f>
        <v>3.870953851209738E-2</v>
      </c>
      <c r="H179" s="305">
        <f>-H178/H53</f>
        <v>3.1929233772544134E-2</v>
      </c>
      <c r="I179" s="305">
        <f>-I178/I53</f>
        <v>3.1929233772544134E-2</v>
      </c>
      <c r="J179" s="305">
        <f>-J178/J53</f>
        <v>3.1929233772544134E-2</v>
      </c>
      <c r="K179" s="305">
        <f>-K178/K53</f>
        <v>3.1929233772544134E-2</v>
      </c>
      <c r="L179" s="305">
        <f>-L178/L53</f>
        <v>3.1929233772544134E-2</v>
      </c>
      <c r="M179" s="305">
        <f>-M178/M53</f>
        <v>3.1929233772544134E-2</v>
      </c>
      <c r="N179" s="305">
        <f>-N178/N53</f>
        <v>3.1929233772544134E-2</v>
      </c>
      <c r="O179" s="192"/>
      <c r="P179" s="192"/>
      <c r="Q179" s="192"/>
    </row>
    <row r="180" spans="1:17" s="6" customFormat="1" hidden="1" outlineLevel="1" x14ac:dyDescent="0.25">
      <c r="A180" s="230" t="s">
        <v>606</v>
      </c>
      <c r="B180" s="349" t="s">
        <v>318</v>
      </c>
      <c r="C180" s="350" t="s">
        <v>1</v>
      </c>
      <c r="D180" s="351"/>
      <c r="E180" s="347">
        <f>SUM($D$211:$D$212)/30</f>
        <v>2000</v>
      </c>
      <c r="F180" s="347">
        <f t="shared" ref="F180:N180" si="57">SUM($D$211:$D$212)/30</f>
        <v>2000</v>
      </c>
      <c r="G180" s="347">
        <f t="shared" si="57"/>
        <v>2000</v>
      </c>
      <c r="H180" s="347">
        <f t="shared" si="57"/>
        <v>2000</v>
      </c>
      <c r="I180" s="347">
        <f t="shared" si="57"/>
        <v>2000</v>
      </c>
      <c r="J180" s="347">
        <f t="shared" si="57"/>
        <v>2000</v>
      </c>
      <c r="K180" s="347">
        <f t="shared" si="57"/>
        <v>2000</v>
      </c>
      <c r="L180" s="347">
        <f t="shared" si="57"/>
        <v>2000</v>
      </c>
      <c r="M180" s="347">
        <f t="shared" si="57"/>
        <v>2000</v>
      </c>
      <c r="N180" s="347">
        <f t="shared" si="57"/>
        <v>2000</v>
      </c>
      <c r="O180" s="192"/>
      <c r="P180" s="192"/>
      <c r="Q180" s="192"/>
    </row>
    <row r="181" spans="1:17" s="6" customFormat="1" hidden="1" outlineLevel="1" x14ac:dyDescent="0.25">
      <c r="A181" s="230" t="s">
        <v>606</v>
      </c>
      <c r="B181" s="349" t="s">
        <v>319</v>
      </c>
      <c r="C181" s="350" t="s">
        <v>1</v>
      </c>
      <c r="D181" s="351"/>
      <c r="E181" s="347">
        <f>($D$216+$D$226+$D$228+$D$230)/10</f>
        <v>109915.80226666667</v>
      </c>
      <c r="F181" s="347">
        <f t="shared" ref="F181:N181" si="58">($D$216+$D$226+$D$228+$D$230+$F$216)/10</f>
        <v>109915.80226666667</v>
      </c>
      <c r="G181" s="347">
        <f t="shared" si="58"/>
        <v>109915.80226666667</v>
      </c>
      <c r="H181" s="347">
        <f t="shared" si="58"/>
        <v>109915.80226666667</v>
      </c>
      <c r="I181" s="347">
        <f t="shared" si="58"/>
        <v>109915.80226666667</v>
      </c>
      <c r="J181" s="347">
        <f t="shared" si="58"/>
        <v>109915.80226666667</v>
      </c>
      <c r="K181" s="347">
        <f t="shared" si="58"/>
        <v>109915.80226666667</v>
      </c>
      <c r="L181" s="347">
        <f t="shared" si="58"/>
        <v>109915.80226666667</v>
      </c>
      <c r="M181" s="347">
        <f t="shared" si="58"/>
        <v>109915.80226666667</v>
      </c>
      <c r="N181" s="347">
        <f t="shared" si="58"/>
        <v>109915.80226666667</v>
      </c>
      <c r="O181" s="192"/>
      <c r="P181" s="192"/>
      <c r="Q181" s="192"/>
    </row>
    <row r="182" spans="1:17" s="6" customFormat="1" collapsed="1" x14ac:dyDescent="0.25">
      <c r="A182" s="230"/>
      <c r="B182" s="281"/>
      <c r="C182" s="229"/>
      <c r="D182" s="283"/>
      <c r="E182" s="283"/>
      <c r="F182" s="283"/>
      <c r="G182" s="283"/>
      <c r="H182" s="283"/>
      <c r="I182" s="283"/>
      <c r="J182" s="283"/>
      <c r="K182" s="283"/>
      <c r="L182" s="283"/>
      <c r="M182" s="283"/>
      <c r="N182" s="288"/>
      <c r="O182" s="192"/>
      <c r="P182" s="192"/>
      <c r="Q182" s="192"/>
    </row>
    <row r="183" spans="1:17" s="6" customFormat="1" ht="18.75" x14ac:dyDescent="0.3">
      <c r="A183" s="277"/>
      <c r="B183" s="278" t="s">
        <v>551</v>
      </c>
      <c r="C183" s="218" t="s">
        <v>1</v>
      </c>
      <c r="D183" s="274"/>
      <c r="E183" s="280">
        <f>+E175+E178</f>
        <v>59551.999733333534</v>
      </c>
      <c r="F183" s="280">
        <f t="shared" ref="F183:N183" si="59">+F175+F178</f>
        <v>265744.15273333335</v>
      </c>
      <c r="G183" s="280">
        <f t="shared" si="59"/>
        <v>432209.13373333367</v>
      </c>
      <c r="H183" s="280">
        <f t="shared" si="59"/>
        <v>1026238.2409333335</v>
      </c>
      <c r="I183" s="280">
        <f t="shared" si="59"/>
        <v>1026238.2409333335</v>
      </c>
      <c r="J183" s="280">
        <f t="shared" si="59"/>
        <v>1026238.2409333335</v>
      </c>
      <c r="K183" s="280">
        <f t="shared" si="59"/>
        <v>1026238.2409333335</v>
      </c>
      <c r="L183" s="280">
        <f t="shared" si="59"/>
        <v>1026238.2409333335</v>
      </c>
      <c r="M183" s="280">
        <f t="shared" si="59"/>
        <v>1026238.2409333335</v>
      </c>
      <c r="N183" s="280">
        <f t="shared" si="59"/>
        <v>1026238.2409333335</v>
      </c>
      <c r="O183" s="192"/>
      <c r="P183" s="192"/>
      <c r="Q183" s="192"/>
    </row>
    <row r="184" spans="1:17" s="6" customFormat="1" x14ac:dyDescent="0.25">
      <c r="A184" s="230"/>
      <c r="B184" s="281"/>
      <c r="C184" s="229"/>
      <c r="D184" s="283"/>
      <c r="E184" s="283"/>
      <c r="F184" s="283"/>
      <c r="G184" s="283"/>
      <c r="H184" s="283"/>
      <c r="I184" s="283"/>
      <c r="J184" s="283"/>
      <c r="K184" s="283"/>
      <c r="L184" s="283"/>
      <c r="M184" s="283"/>
      <c r="N184" s="288"/>
      <c r="O184" s="192"/>
      <c r="P184" s="192"/>
      <c r="Q184" s="192"/>
    </row>
    <row r="185" spans="1:17" s="6" customFormat="1" ht="18.75" x14ac:dyDescent="0.3">
      <c r="A185" s="277" t="s">
        <v>335</v>
      </c>
      <c r="B185" s="278" t="s">
        <v>487</v>
      </c>
      <c r="C185" s="218" t="s">
        <v>1</v>
      </c>
      <c r="D185" s="279"/>
      <c r="E185" s="422">
        <f>-Prestamo!G8</f>
        <v>-4500</v>
      </c>
      <c r="F185" s="422">
        <f>-Prestamo!H8</f>
        <v>-3600</v>
      </c>
      <c r="G185" s="422">
        <f>-Prestamo!I8</f>
        <v>-2700</v>
      </c>
      <c r="H185" s="422">
        <f>-Prestamo!J8</f>
        <v>-1800</v>
      </c>
      <c r="I185" s="422">
        <f>-Prestamo!K8</f>
        <v>-900</v>
      </c>
      <c r="J185" s="422"/>
      <c r="K185" s="422"/>
      <c r="L185" s="422"/>
      <c r="M185" s="422"/>
      <c r="N185" s="422"/>
      <c r="O185" s="192"/>
      <c r="P185" s="192"/>
      <c r="Q185" s="192"/>
    </row>
    <row r="186" spans="1:17" s="6" customFormat="1" ht="18.75" x14ac:dyDescent="0.3">
      <c r="A186" s="230"/>
      <c r="B186" s="352"/>
      <c r="C186" s="251"/>
      <c r="D186" s="283"/>
      <c r="E186" s="328"/>
      <c r="F186" s="328"/>
      <c r="G186" s="328"/>
      <c r="H186" s="328"/>
      <c r="I186" s="328"/>
      <c r="J186" s="328"/>
      <c r="K186" s="328"/>
      <c r="L186" s="328"/>
      <c r="M186" s="328"/>
      <c r="N186" s="329"/>
      <c r="O186" s="192"/>
      <c r="P186" s="192"/>
      <c r="Q186" s="192"/>
    </row>
    <row r="187" spans="1:17" s="6" customFormat="1" ht="18.75" x14ac:dyDescent="0.3">
      <c r="A187" s="277" t="s">
        <v>491</v>
      </c>
      <c r="B187" s="278" t="s">
        <v>486</v>
      </c>
      <c r="C187" s="218" t="s">
        <v>1</v>
      </c>
      <c r="D187" s="279"/>
      <c r="E187" s="280">
        <f>+E183+E185</f>
        <v>55051.999733333534</v>
      </c>
      <c r="F187" s="280">
        <f t="shared" ref="F187:N187" si="60">+F183+F185</f>
        <v>262144.15273333335</v>
      </c>
      <c r="G187" s="280">
        <f t="shared" si="60"/>
        <v>429509.13373333367</v>
      </c>
      <c r="H187" s="280">
        <f t="shared" si="60"/>
        <v>1024438.2409333335</v>
      </c>
      <c r="I187" s="280">
        <f t="shared" si="60"/>
        <v>1025338.2409333335</v>
      </c>
      <c r="J187" s="280">
        <f t="shared" si="60"/>
        <v>1026238.2409333335</v>
      </c>
      <c r="K187" s="280">
        <f t="shared" si="60"/>
        <v>1026238.2409333335</v>
      </c>
      <c r="L187" s="280">
        <f t="shared" si="60"/>
        <v>1026238.2409333335</v>
      </c>
      <c r="M187" s="280">
        <f t="shared" si="60"/>
        <v>1026238.2409333335</v>
      </c>
      <c r="N187" s="280">
        <f t="shared" si="60"/>
        <v>1026238.2409333335</v>
      </c>
      <c r="O187" s="192"/>
      <c r="P187" s="192"/>
      <c r="Q187" s="192"/>
    </row>
    <row r="188" spans="1:17" s="6" customFormat="1" ht="15.75" x14ac:dyDescent="0.25">
      <c r="A188" s="277"/>
      <c r="B188" s="302" t="s">
        <v>272</v>
      </c>
      <c r="C188" s="303"/>
      <c r="D188" s="304"/>
      <c r="E188" s="416">
        <f>+E187/E53</f>
        <v>2.2749860110316711E-2</v>
      </c>
      <c r="F188" s="416">
        <f>+F187/F53</f>
        <v>9.8632303732465967E-2</v>
      </c>
      <c r="G188" s="416">
        <f>+G187/G53</f>
        <v>0.14855900611722667</v>
      </c>
      <c r="H188" s="416">
        <f>+H187/H53</f>
        <v>0.29226907566061028</v>
      </c>
      <c r="I188" s="416">
        <f>+I187/I53</f>
        <v>0.29252584288930616</v>
      </c>
      <c r="J188" s="416">
        <f>+J187/J53</f>
        <v>0.29278261011800205</v>
      </c>
      <c r="K188" s="416">
        <f>+K187/K53</f>
        <v>0.29278261011800205</v>
      </c>
      <c r="L188" s="416">
        <f>+L187/L53</f>
        <v>0.29278261011800205</v>
      </c>
      <c r="M188" s="416">
        <f>+M187/M53</f>
        <v>0.29278261011800205</v>
      </c>
      <c r="N188" s="416">
        <f>+N187/N53</f>
        <v>0.29278261011800205</v>
      </c>
      <c r="O188" s="192"/>
      <c r="P188" s="192"/>
      <c r="Q188" s="192"/>
    </row>
    <row r="189" spans="1:17" s="6" customFormat="1" ht="18.75" x14ac:dyDescent="0.3">
      <c r="A189" s="353"/>
      <c r="B189" s="354"/>
      <c r="C189" s="222"/>
      <c r="D189" s="275"/>
      <c r="E189" s="355"/>
      <c r="F189" s="355"/>
      <c r="G189" s="355"/>
      <c r="H189" s="355"/>
      <c r="I189" s="355"/>
      <c r="J189" s="355"/>
      <c r="K189" s="355"/>
      <c r="L189" s="355"/>
      <c r="M189" s="355"/>
      <c r="N189" s="356"/>
      <c r="O189" s="192"/>
      <c r="P189" s="192"/>
      <c r="Q189" s="192"/>
    </row>
    <row r="190" spans="1:17" s="6" customFormat="1" ht="18.75" x14ac:dyDescent="0.3">
      <c r="A190" s="277" t="s">
        <v>610</v>
      </c>
      <c r="B190" s="278" t="s">
        <v>485</v>
      </c>
      <c r="C190" s="218" t="s">
        <v>1</v>
      </c>
      <c r="D190" s="279"/>
      <c r="E190" s="357">
        <f>-E187*0.35</f>
        <v>-19268.199906666734</v>
      </c>
      <c r="F190" s="357">
        <f t="shared" ref="F190:N190" si="61">-F187*0.35</f>
        <v>-91750.45345666667</v>
      </c>
      <c r="G190" s="357">
        <f t="shared" si="61"/>
        <v>-150328.19680666676</v>
      </c>
      <c r="H190" s="357">
        <f t="shared" si="61"/>
        <v>-358553.38432666671</v>
      </c>
      <c r="I190" s="357">
        <f t="shared" si="61"/>
        <v>-358868.38432666671</v>
      </c>
      <c r="J190" s="357">
        <f t="shared" si="61"/>
        <v>-359183.38432666671</v>
      </c>
      <c r="K190" s="357">
        <f t="shared" si="61"/>
        <v>-359183.38432666671</v>
      </c>
      <c r="L190" s="357">
        <f t="shared" si="61"/>
        <v>-359183.38432666671</v>
      </c>
      <c r="M190" s="357">
        <f t="shared" si="61"/>
        <v>-359183.38432666671</v>
      </c>
      <c r="N190" s="357">
        <f t="shared" si="61"/>
        <v>-359183.38432666671</v>
      </c>
      <c r="O190" s="192"/>
      <c r="P190" s="192"/>
      <c r="Q190" s="192"/>
    </row>
    <row r="191" spans="1:17" s="6" customFormat="1" ht="18.75" x14ac:dyDescent="0.3">
      <c r="A191" s="230"/>
      <c r="B191" s="352"/>
      <c r="C191" s="251"/>
      <c r="D191" s="283"/>
      <c r="E191" s="328"/>
      <c r="F191" s="328"/>
      <c r="G191" s="328"/>
      <c r="H191" s="328"/>
      <c r="I191" s="328"/>
      <c r="J191" s="328"/>
      <c r="K191" s="328"/>
      <c r="L191" s="328"/>
      <c r="M191" s="328"/>
      <c r="N191" s="329"/>
      <c r="O191" s="192"/>
      <c r="P191" s="192"/>
      <c r="Q191" s="192"/>
    </row>
    <row r="192" spans="1:17" s="6" customFormat="1" ht="15.75" x14ac:dyDescent="0.25">
      <c r="A192" s="560" t="s">
        <v>611</v>
      </c>
      <c r="B192" s="561" t="s">
        <v>493</v>
      </c>
      <c r="C192" s="566" t="s">
        <v>1</v>
      </c>
      <c r="D192" s="567"/>
      <c r="E192" s="568">
        <f>+E187+E190</f>
        <v>35783.7998266668</v>
      </c>
      <c r="F192" s="568">
        <f t="shared" ref="F192:N192" si="62">+F187+F190</f>
        <v>170393.69927666668</v>
      </c>
      <c r="G192" s="568">
        <f t="shared" si="62"/>
        <v>279180.93692666688</v>
      </c>
      <c r="H192" s="568">
        <f t="shared" si="62"/>
        <v>665884.85660666681</v>
      </c>
      <c r="I192" s="568">
        <f t="shared" si="62"/>
        <v>666469.85660666681</v>
      </c>
      <c r="J192" s="568">
        <f t="shared" si="62"/>
        <v>667054.85660666681</v>
      </c>
      <c r="K192" s="568">
        <f t="shared" si="62"/>
        <v>667054.85660666681</v>
      </c>
      <c r="L192" s="568">
        <f t="shared" si="62"/>
        <v>667054.85660666681</v>
      </c>
      <c r="M192" s="568">
        <f t="shared" si="62"/>
        <v>667054.85660666681</v>
      </c>
      <c r="N192" s="568">
        <f t="shared" si="62"/>
        <v>667054.85660666681</v>
      </c>
      <c r="O192" s="192"/>
      <c r="P192" s="192"/>
      <c r="Q192" s="192"/>
    </row>
    <row r="193" spans="1:17" s="6" customFormat="1" ht="15.75" x14ac:dyDescent="0.25">
      <c r="A193" s="560"/>
      <c r="B193" s="569" t="s">
        <v>272</v>
      </c>
      <c r="C193" s="570"/>
      <c r="D193" s="567"/>
      <c r="E193" s="571">
        <f>+E192/E53</f>
        <v>1.4787409071705863E-2</v>
      </c>
      <c r="F193" s="572">
        <f>+F192/F53</f>
        <v>6.4110997426102878E-2</v>
      </c>
      <c r="G193" s="572">
        <f>+G192/G53</f>
        <v>9.6563353976197336E-2</v>
      </c>
      <c r="H193" s="572">
        <f>+H192/H53</f>
        <v>0.18997489917939669</v>
      </c>
      <c r="I193" s="572">
        <f>+I192/I53</f>
        <v>0.19014179787804902</v>
      </c>
      <c r="J193" s="572">
        <f>+J192/J53</f>
        <v>0.19030869657670135</v>
      </c>
      <c r="K193" s="572">
        <f>+K192/K53</f>
        <v>0.19030869657670135</v>
      </c>
      <c r="L193" s="572">
        <f>+L192/L53</f>
        <v>0.19030869657670135</v>
      </c>
      <c r="M193" s="572">
        <f>+M192/M53</f>
        <v>0.19030869657670135</v>
      </c>
      <c r="N193" s="572">
        <f>+N192/N53</f>
        <v>0.19030869657670135</v>
      </c>
      <c r="O193" s="192"/>
      <c r="P193" s="192"/>
      <c r="Q193" s="192"/>
    </row>
    <row r="194" spans="1:17" s="6" customFormat="1" ht="18.75" x14ac:dyDescent="0.3">
      <c r="A194" s="230"/>
      <c r="B194" s="352"/>
      <c r="C194" s="251"/>
      <c r="D194" s="283"/>
      <c r="E194" s="358"/>
      <c r="F194" s="315"/>
      <c r="G194" s="315"/>
      <c r="H194" s="315"/>
      <c r="I194" s="315"/>
      <c r="J194" s="315"/>
      <c r="K194" s="315"/>
      <c r="L194" s="315"/>
      <c r="M194" s="315"/>
      <c r="N194" s="316"/>
      <c r="O194" s="192"/>
      <c r="P194" s="192"/>
      <c r="Q194" s="192"/>
    </row>
    <row r="195" spans="1:17" s="6" customFormat="1" ht="18.75" x14ac:dyDescent="0.3">
      <c r="A195" s="277" t="s">
        <v>615</v>
      </c>
      <c r="B195" s="278" t="s">
        <v>477</v>
      </c>
      <c r="C195" s="218" t="s">
        <v>1</v>
      </c>
      <c r="D195" s="279"/>
      <c r="E195" s="280">
        <f>-E178</f>
        <v>111915.80226666667</v>
      </c>
      <c r="F195" s="280">
        <f t="shared" ref="F195:N195" si="63">-F178</f>
        <v>111915.80226666667</v>
      </c>
      <c r="G195" s="280">
        <f t="shared" si="63"/>
        <v>111915.80226666667</v>
      </c>
      <c r="H195" s="280">
        <f t="shared" si="63"/>
        <v>111915.80226666667</v>
      </c>
      <c r="I195" s="280">
        <f t="shared" si="63"/>
        <v>111915.80226666667</v>
      </c>
      <c r="J195" s="280">
        <f t="shared" si="63"/>
        <v>111915.80226666667</v>
      </c>
      <c r="K195" s="280">
        <f t="shared" si="63"/>
        <v>111915.80226666667</v>
      </c>
      <c r="L195" s="280">
        <f t="shared" si="63"/>
        <v>111915.80226666667</v>
      </c>
      <c r="M195" s="280">
        <f t="shared" si="63"/>
        <v>111915.80226666667</v>
      </c>
      <c r="N195" s="280">
        <f t="shared" si="63"/>
        <v>111915.80226666667</v>
      </c>
      <c r="O195" s="192"/>
      <c r="P195" s="192"/>
      <c r="Q195" s="192"/>
    </row>
    <row r="196" spans="1:17" s="6" customFormat="1" ht="18.75" x14ac:dyDescent="0.3">
      <c r="A196" s="230"/>
      <c r="B196" s="352"/>
      <c r="C196" s="251"/>
      <c r="D196" s="283"/>
      <c r="E196" s="315"/>
      <c r="F196" s="315"/>
      <c r="G196" s="315"/>
      <c r="H196" s="315"/>
      <c r="I196" s="315"/>
      <c r="J196" s="315"/>
      <c r="K196" s="315"/>
      <c r="L196" s="315"/>
      <c r="M196" s="315"/>
      <c r="N196" s="316"/>
      <c r="O196" s="192"/>
      <c r="P196" s="192"/>
      <c r="Q196" s="192"/>
    </row>
    <row r="197" spans="1:17" s="6" customFormat="1" ht="18.75" x14ac:dyDescent="0.3">
      <c r="A197" s="131" t="s">
        <v>612</v>
      </c>
      <c r="B197" s="278" t="s">
        <v>618</v>
      </c>
      <c r="C197" s="218" t="s">
        <v>1</v>
      </c>
      <c r="D197" s="280">
        <f>+D199+D203-D207</f>
        <v>0</v>
      </c>
      <c r="E197" s="280">
        <f>-(E199+E203-E207)</f>
        <v>-212316.61226666666</v>
      </c>
      <c r="F197" s="280">
        <f>-(F199+F203-F207)</f>
        <v>-26381.938615151506</v>
      </c>
      <c r="G197" s="280">
        <f>-(G199+G203-G207)</f>
        <v>-25508.437133333355</v>
      </c>
      <c r="H197" s="280">
        <f>-(H199+H203-H207)</f>
        <v>-53508.591255913983</v>
      </c>
      <c r="I197" s="280"/>
      <c r="J197" s="355"/>
      <c r="K197" s="355"/>
      <c r="L197" s="355"/>
      <c r="M197" s="355"/>
      <c r="N197" s="356"/>
      <c r="O197" s="192"/>
      <c r="P197" s="192"/>
      <c r="Q197" s="192"/>
    </row>
    <row r="198" spans="1:17" s="6" customFormat="1" ht="15.75" x14ac:dyDescent="0.25">
      <c r="A198" s="277"/>
      <c r="B198" s="302" t="s">
        <v>273</v>
      </c>
      <c r="C198" s="303"/>
      <c r="D198" s="304"/>
      <c r="E198" s="305">
        <f>-E197/E53</f>
        <v>8.7738379197120964E-2</v>
      </c>
      <c r="F198" s="305">
        <f>-F197/F53</f>
        <v>9.9262613924785831E-3</v>
      </c>
      <c r="G198" s="305">
        <f>-G197/G53</f>
        <v>8.8228812160360878E-3</v>
      </c>
      <c r="H198" s="305">
        <f>-H197/H53</f>
        <v>1.5265836320224904E-2</v>
      </c>
      <c r="I198" s="305"/>
      <c r="J198" s="417"/>
      <c r="K198" s="417"/>
      <c r="L198" s="417"/>
      <c r="M198" s="417"/>
      <c r="N198" s="417"/>
      <c r="O198" s="192"/>
      <c r="P198" s="192"/>
      <c r="Q198" s="192"/>
    </row>
    <row r="199" spans="1:17" s="6" customFormat="1" hidden="1" outlineLevel="1" x14ac:dyDescent="0.25">
      <c r="A199"/>
      <c r="B199" s="120" t="s">
        <v>322</v>
      </c>
      <c r="C199" s="116" t="s">
        <v>1</v>
      </c>
      <c r="D199" s="201"/>
      <c r="E199" s="201">
        <f>SUM(E200:E201)</f>
        <v>133576.36226666666</v>
      </c>
      <c r="F199" s="201">
        <f>SUM(F200:F201)</f>
        <v>6556.1844484848561</v>
      </c>
      <c r="G199" s="201">
        <f>SUM(G200:G201)</f>
        <v>6060.3912999999993</v>
      </c>
      <c r="H199" s="201">
        <f>SUM(H200:H201)</f>
        <v>2345.9579225806447</v>
      </c>
      <c r="I199" s="201"/>
      <c r="J199" s="192"/>
      <c r="K199" s="192"/>
      <c r="L199" s="192"/>
      <c r="M199" s="192"/>
      <c r="N199" s="192"/>
      <c r="O199" s="192"/>
      <c r="P199" s="192"/>
      <c r="Q199" s="192"/>
    </row>
    <row r="200" spans="1:17" s="6" customFormat="1" hidden="1" outlineLevel="1" x14ac:dyDescent="0.25">
      <c r="A200"/>
      <c r="B200" s="118" t="s">
        <v>542</v>
      </c>
      <c r="C200" s="129" t="s">
        <v>1</v>
      </c>
      <c r="D200" s="204"/>
      <c r="E200" s="204">
        <f>(E28-D28)/24*E91</f>
        <v>61458.333333333336</v>
      </c>
      <c r="F200" s="204">
        <f>(F28-E28)/24*F91</f>
        <v>0</v>
      </c>
      <c r="G200" s="204">
        <f>(G28-F28)/24*G91</f>
        <v>0</v>
      </c>
      <c r="H200" s="204">
        <f>(H28-G28)/24*H91</f>
        <v>0</v>
      </c>
      <c r="I200" s="204"/>
      <c r="J200" s="204"/>
      <c r="K200" s="200"/>
      <c r="L200" s="192"/>
      <c r="M200" s="192"/>
      <c r="N200" s="192"/>
      <c r="O200" s="192"/>
      <c r="P200" s="192"/>
      <c r="Q200" s="192"/>
    </row>
    <row r="201" spans="1:17" ht="30" hidden="1" outlineLevel="1" x14ac:dyDescent="0.25">
      <c r="B201" s="130" t="s">
        <v>560</v>
      </c>
      <c r="C201" s="129" t="s">
        <v>1</v>
      </c>
      <c r="E201" s="203">
        <f>(0.4*(E29-D29)*E86)/12</f>
        <v>72118.028933333335</v>
      </c>
      <c r="F201" s="203">
        <f>(0.4*(F29-E29)*F86)/12</f>
        <v>6556.1844484848561</v>
      </c>
      <c r="G201" s="203">
        <f>(0.4*(G29-F29)*G86)/12</f>
        <v>6060.3912999999993</v>
      </c>
      <c r="H201" s="203">
        <f>(0.4*(H29-G29)*H86)/12</f>
        <v>2345.9579225806447</v>
      </c>
      <c r="I201" s="203"/>
      <c r="J201" s="203"/>
      <c r="K201" s="203"/>
      <c r="L201" s="192"/>
      <c r="M201" s="192"/>
      <c r="N201" s="192"/>
      <c r="O201" s="192"/>
      <c r="P201" s="192"/>
      <c r="Q201" s="192"/>
    </row>
    <row r="202" spans="1:17" hidden="1" outlineLevel="1" x14ac:dyDescent="0.25">
      <c r="B202" s="139"/>
      <c r="C202" s="444"/>
      <c r="D202" s="204"/>
      <c r="E202" s="196"/>
      <c r="F202" s="196"/>
      <c r="G202" s="196"/>
      <c r="H202" s="192"/>
      <c r="I202" s="192"/>
      <c r="J202" s="192"/>
      <c r="K202" s="192"/>
      <c r="L202" s="192"/>
      <c r="M202" s="192"/>
      <c r="N202" s="192"/>
      <c r="O202" s="192"/>
      <c r="P202" s="192"/>
      <c r="Q202" s="192"/>
    </row>
    <row r="203" spans="1:17" hidden="1" outlineLevel="1" x14ac:dyDescent="0.25">
      <c r="B203" s="120" t="s">
        <v>110</v>
      </c>
      <c r="C203" s="129" t="s">
        <v>1</v>
      </c>
      <c r="D203" s="192"/>
      <c r="E203" s="201">
        <f>SUM(E204:E204)</f>
        <v>201656.91666666666</v>
      </c>
      <c r="F203" s="201">
        <f>SUM(F204:F204)</f>
        <v>19825.754166666651</v>
      </c>
      <c r="G203" s="201">
        <f>SUM(G204:G204)</f>
        <v>19448.045833333355</v>
      </c>
      <c r="H203" s="201">
        <f>SUM(H204:H204)</f>
        <v>51162.633333333339</v>
      </c>
      <c r="I203" s="201"/>
      <c r="J203" s="192"/>
      <c r="K203" s="192"/>
      <c r="L203" s="192"/>
      <c r="M203" s="192"/>
      <c r="N203" s="192"/>
      <c r="O203" s="192"/>
      <c r="P203" s="192"/>
      <c r="Q203" s="192"/>
    </row>
    <row r="204" spans="1:17" hidden="1" outlineLevel="1" x14ac:dyDescent="0.25">
      <c r="B204" s="118" t="s">
        <v>325</v>
      </c>
      <c r="C204" s="129" t="s">
        <v>1</v>
      </c>
      <c r="D204" s="192"/>
      <c r="E204" s="204">
        <f>+(E53-D53)/12</f>
        <v>201656.91666666666</v>
      </c>
      <c r="F204" s="204">
        <f>+(F53-E53)/12</f>
        <v>19825.754166666651</v>
      </c>
      <c r="G204" s="204">
        <f>+(G53-F53)/12</f>
        <v>19448.045833333355</v>
      </c>
      <c r="H204" s="204">
        <f>+(H53-G53)/12</f>
        <v>51162.633333333339</v>
      </c>
      <c r="I204" s="204"/>
      <c r="J204" s="204"/>
      <c r="K204" s="204"/>
      <c r="L204" s="204"/>
      <c r="M204" s="204"/>
      <c r="N204" s="192"/>
      <c r="O204" s="192"/>
      <c r="P204" s="192"/>
      <c r="Q204" s="192"/>
    </row>
    <row r="205" spans="1:17" hidden="1" outlineLevel="1" x14ac:dyDescent="0.25">
      <c r="B205" s="118"/>
      <c r="C205" s="129"/>
      <c r="D205" s="192"/>
      <c r="E205" s="200"/>
      <c r="F205" s="192"/>
      <c r="G205" s="192"/>
      <c r="H205" s="192"/>
      <c r="I205" s="192"/>
      <c r="J205" s="192"/>
      <c r="K205" s="192"/>
      <c r="L205" s="192"/>
      <c r="M205" s="192"/>
      <c r="N205" s="192"/>
      <c r="O205" s="192"/>
      <c r="P205" s="192"/>
      <c r="Q205" s="192"/>
    </row>
    <row r="206" spans="1:17" hidden="1" outlineLevel="1" x14ac:dyDescent="0.25">
      <c r="B206" s="120" t="s">
        <v>111</v>
      </c>
      <c r="C206" s="116"/>
      <c r="D206" s="192"/>
      <c r="E206" s="196"/>
      <c r="F206" s="192"/>
      <c r="G206" s="192"/>
      <c r="H206" s="192"/>
      <c r="I206" s="192"/>
      <c r="J206" s="192"/>
      <c r="K206" s="192"/>
      <c r="L206" s="192"/>
      <c r="M206" s="192"/>
      <c r="N206" s="192"/>
      <c r="O206" s="192"/>
      <c r="P206" s="192"/>
      <c r="Q206" s="192"/>
    </row>
    <row r="207" spans="1:17" hidden="1" outlineLevel="1" x14ac:dyDescent="0.25">
      <c r="B207" s="118" t="s">
        <v>326</v>
      </c>
      <c r="C207" s="116" t="s">
        <v>1</v>
      </c>
      <c r="D207" s="198"/>
      <c r="E207" s="198">
        <f>+(E89-D89)/12</f>
        <v>122916.66666666667</v>
      </c>
      <c r="F207" s="198">
        <f>+(F89-E89)/12</f>
        <v>0</v>
      </c>
      <c r="G207" s="198">
        <f>+(G89-F89)/12</f>
        <v>0</v>
      </c>
      <c r="H207" s="198">
        <f>+(H89-G89)/12</f>
        <v>0</v>
      </c>
      <c r="I207" s="198"/>
      <c r="J207" s="198"/>
      <c r="K207" s="198"/>
      <c r="L207" s="198"/>
      <c r="M207" s="198"/>
      <c r="N207" s="200"/>
      <c r="O207" s="192"/>
      <c r="P207" s="192"/>
      <c r="Q207" s="192"/>
    </row>
    <row r="208" spans="1:17" hidden="1" outlineLevel="1" x14ac:dyDescent="0.25">
      <c r="B208" s="118"/>
      <c r="C208" s="116"/>
      <c r="D208" s="192"/>
      <c r="E208" s="196"/>
      <c r="F208" s="192"/>
      <c r="G208" s="192"/>
      <c r="H208" s="192"/>
      <c r="I208" s="192"/>
      <c r="J208" s="192"/>
      <c r="K208" s="192"/>
      <c r="L208" s="192"/>
      <c r="M208" s="192"/>
      <c r="N208" s="192"/>
      <c r="O208" s="192"/>
      <c r="P208" s="192"/>
      <c r="Q208" s="192"/>
    </row>
    <row r="209" spans="1:17" collapsed="1" x14ac:dyDescent="0.25">
      <c r="B209" s="115"/>
      <c r="C209" s="116"/>
      <c r="D209" s="193"/>
      <c r="E209" s="193"/>
      <c r="F209" s="193"/>
      <c r="G209" s="193"/>
      <c r="H209" s="193"/>
      <c r="I209" s="193"/>
      <c r="J209" s="193"/>
      <c r="K209" s="192"/>
      <c r="L209" s="192"/>
      <c r="M209" s="192"/>
      <c r="N209" s="192"/>
      <c r="O209" s="192"/>
      <c r="P209" s="192"/>
      <c r="Q209" s="192"/>
    </row>
    <row r="210" spans="1:17" ht="18.75" x14ac:dyDescent="0.3">
      <c r="A210" s="131" t="s">
        <v>613</v>
      </c>
      <c r="B210" s="132" t="s">
        <v>617</v>
      </c>
      <c r="C210" s="119" t="s">
        <v>1</v>
      </c>
      <c r="D210" s="202">
        <f>-(D214+D216+D226+D228+D230+D234)</f>
        <v>-1243693.5481075365</v>
      </c>
      <c r="E210" s="202">
        <f>+E214+E216+E226+E228</f>
        <v>0</v>
      </c>
      <c r="F210" s="202">
        <f>+F214+F216+F226+F228</f>
        <v>0</v>
      </c>
      <c r="G210" s="202">
        <f t="shared" ref="G210:H210" si="64">+G214+G216+G226+G228</f>
        <v>0</v>
      </c>
      <c r="H210" s="202">
        <f t="shared" si="64"/>
        <v>0</v>
      </c>
      <c r="I210" s="192"/>
      <c r="J210" s="192"/>
      <c r="K210" s="192"/>
      <c r="L210" s="192"/>
      <c r="M210" s="192"/>
      <c r="N210" s="192"/>
      <c r="O210" s="192"/>
      <c r="P210" s="192"/>
      <c r="Q210" s="192"/>
    </row>
    <row r="211" spans="1:17" hidden="1" outlineLevel="1" x14ac:dyDescent="0.25">
      <c r="A211" s="84" t="s">
        <v>587</v>
      </c>
      <c r="B211" s="127" t="s">
        <v>314</v>
      </c>
      <c r="C211" s="6" t="s">
        <v>1</v>
      </c>
      <c r="D211" s="200">
        <v>10000</v>
      </c>
      <c r="E211" s="192"/>
      <c r="F211" s="192"/>
      <c r="G211" s="192"/>
      <c r="H211" s="192"/>
      <c r="I211" s="192"/>
      <c r="J211" s="192"/>
      <c r="K211" s="192"/>
      <c r="L211" s="192"/>
      <c r="M211" s="192"/>
      <c r="N211" s="192"/>
      <c r="O211" s="192"/>
      <c r="P211" s="192"/>
      <c r="Q211" s="192"/>
    </row>
    <row r="212" spans="1:17" hidden="1" outlineLevel="1" x14ac:dyDescent="0.25">
      <c r="A212" s="84" t="s">
        <v>589</v>
      </c>
      <c r="B212" s="128" t="s">
        <v>315</v>
      </c>
      <c r="C212" s="6" t="s">
        <v>1</v>
      </c>
      <c r="D212" s="200">
        <v>50000</v>
      </c>
      <c r="E212" s="192"/>
      <c r="F212" s="192"/>
      <c r="G212" s="192"/>
      <c r="H212" s="205"/>
      <c r="I212" s="192"/>
      <c r="J212" s="192"/>
      <c r="K212" s="192"/>
      <c r="L212" s="192"/>
      <c r="M212" s="192"/>
      <c r="N212" s="192"/>
      <c r="O212" s="192"/>
      <c r="P212" s="192"/>
      <c r="Q212" s="192"/>
    </row>
    <row r="213" spans="1:17" hidden="1" outlineLevel="1" x14ac:dyDescent="0.25">
      <c r="A213" s="84" t="s">
        <v>589</v>
      </c>
      <c r="B213" s="127" t="s">
        <v>588</v>
      </c>
      <c r="C213" s="6" t="s">
        <v>1</v>
      </c>
      <c r="D213" s="200">
        <f>+Superficie!I8*'CASH FLOW (US$)'!C18</f>
        <v>8235.5254408697292</v>
      </c>
      <c r="E213" s="192"/>
      <c r="F213" s="192"/>
      <c r="G213" s="192"/>
      <c r="H213" s="192"/>
      <c r="I213" s="192"/>
      <c r="J213" s="192"/>
      <c r="K213" s="192"/>
      <c r="L213" s="192"/>
      <c r="M213" s="192"/>
      <c r="N213" s="192"/>
      <c r="O213" s="192"/>
      <c r="P213" s="192"/>
      <c r="Q213" s="192"/>
    </row>
    <row r="214" spans="1:17" hidden="1" outlineLevel="1" x14ac:dyDescent="0.25">
      <c r="B214" s="126" t="s">
        <v>257</v>
      </c>
      <c r="C214" s="116" t="s">
        <v>1</v>
      </c>
      <c r="D214" s="197">
        <f>SUM(D211:D213)</f>
        <v>68235.525440869736</v>
      </c>
      <c r="E214" s="197"/>
      <c r="F214" s="197"/>
      <c r="G214" s="192"/>
      <c r="H214" s="192"/>
      <c r="I214" s="192"/>
      <c r="J214" s="192"/>
      <c r="K214" s="192"/>
      <c r="L214" s="192"/>
      <c r="M214" s="192"/>
      <c r="N214" s="192"/>
      <c r="O214" s="192"/>
      <c r="P214" s="192"/>
      <c r="Q214" s="192"/>
    </row>
    <row r="215" spans="1:17" hidden="1" outlineLevel="1" x14ac:dyDescent="0.25">
      <c r="B215" s="126"/>
      <c r="D215" s="200"/>
      <c r="E215" s="192"/>
      <c r="F215" s="192"/>
      <c r="G215" s="192"/>
      <c r="H215" s="192"/>
      <c r="I215" s="192"/>
      <c r="J215" s="192"/>
      <c r="K215" s="192"/>
      <c r="L215" s="192"/>
      <c r="M215" s="192"/>
      <c r="N215" s="192"/>
      <c r="O215" s="192"/>
      <c r="P215" s="192"/>
      <c r="Q215" s="192"/>
    </row>
    <row r="216" spans="1:17" hidden="1" outlineLevel="1" x14ac:dyDescent="0.25">
      <c r="A216" s="84" t="s">
        <v>590</v>
      </c>
      <c r="B216" s="126" t="s">
        <v>338</v>
      </c>
      <c r="C216" s="116" t="s">
        <v>1</v>
      </c>
      <c r="D216" s="197">
        <f>SUM(D217:D224)</f>
        <v>763000</v>
      </c>
      <c r="E216" s="197"/>
      <c r="F216" s="197"/>
      <c r="G216" s="192"/>
      <c r="H216" s="192"/>
      <c r="I216" s="192"/>
      <c r="J216" s="192"/>
      <c r="K216" s="192"/>
      <c r="L216" s="192"/>
      <c r="M216" s="192"/>
      <c r="N216" s="192"/>
      <c r="O216" s="192"/>
      <c r="P216" s="192"/>
      <c r="Q216" s="192"/>
    </row>
    <row r="217" spans="1:17" hidden="1" outlineLevel="1" x14ac:dyDescent="0.25">
      <c r="B217" s="128" t="s">
        <v>262</v>
      </c>
      <c r="C217" s="6" t="s">
        <v>1</v>
      </c>
      <c r="D217" s="200">
        <v>500000</v>
      </c>
      <c r="E217" s="192"/>
      <c r="F217" s="192"/>
      <c r="G217" s="192"/>
      <c r="H217" s="192"/>
      <c r="I217" s="192"/>
      <c r="J217" s="192"/>
      <c r="K217" s="192"/>
      <c r="L217" s="192"/>
      <c r="M217" s="192"/>
      <c r="N217" s="192"/>
      <c r="O217" s="192"/>
      <c r="P217" s="192"/>
      <c r="Q217" s="192"/>
    </row>
    <row r="218" spans="1:17" hidden="1" outlineLevel="1" x14ac:dyDescent="0.25">
      <c r="B218" s="128" t="s">
        <v>106</v>
      </c>
      <c r="C218" s="6" t="s">
        <v>1</v>
      </c>
      <c r="D218" s="200">
        <f>+D217*0.1</f>
        <v>50000</v>
      </c>
      <c r="E218" s="192"/>
      <c r="F218" s="192"/>
      <c r="G218" s="192"/>
      <c r="H218" s="192"/>
      <c r="I218" s="192"/>
      <c r="J218" s="192"/>
      <c r="K218" s="192"/>
      <c r="L218" s="192"/>
      <c r="M218" s="192"/>
      <c r="N218" s="192"/>
      <c r="O218" s="192"/>
      <c r="P218" s="192"/>
      <c r="Q218" s="192"/>
    </row>
    <row r="219" spans="1:17" hidden="1" outlineLevel="1" x14ac:dyDescent="0.25">
      <c r="B219" s="128" t="s">
        <v>46</v>
      </c>
      <c r="C219" s="6" t="s">
        <v>1</v>
      </c>
      <c r="D219" s="200">
        <v>10000</v>
      </c>
      <c r="E219" s="192"/>
      <c r="F219" s="192"/>
      <c r="G219" s="192"/>
      <c r="H219" s="192"/>
      <c r="I219" s="192"/>
      <c r="J219" s="192"/>
      <c r="K219" s="192"/>
      <c r="L219" s="192"/>
      <c r="M219" s="192"/>
      <c r="N219" s="192"/>
      <c r="O219" s="192"/>
      <c r="P219" s="192"/>
      <c r="Q219" s="192"/>
    </row>
    <row r="220" spans="1:17" hidden="1" outlineLevel="1" x14ac:dyDescent="0.25">
      <c r="B220" s="128" t="s">
        <v>113</v>
      </c>
      <c r="C220" s="6" t="s">
        <v>1</v>
      </c>
      <c r="D220" s="200">
        <f>+D217*0.12</f>
        <v>60000</v>
      </c>
      <c r="E220" s="192"/>
      <c r="F220" s="192"/>
      <c r="G220" s="192"/>
      <c r="H220" s="192"/>
      <c r="I220" s="192"/>
      <c r="J220" s="192"/>
      <c r="K220" s="192"/>
      <c r="L220" s="192"/>
      <c r="M220" s="192"/>
      <c r="N220" s="192"/>
      <c r="O220" s="192"/>
      <c r="P220" s="192"/>
      <c r="Q220" s="192"/>
    </row>
    <row r="221" spans="1:17" hidden="1" outlineLevel="1" x14ac:dyDescent="0.25">
      <c r="B221" s="128" t="s">
        <v>47</v>
      </c>
      <c r="C221" s="6" t="s">
        <v>1</v>
      </c>
      <c r="D221" s="200">
        <v>10000</v>
      </c>
      <c r="E221" s="192"/>
      <c r="F221" s="192"/>
      <c r="G221" s="192"/>
      <c r="H221" s="192"/>
      <c r="I221" s="192"/>
      <c r="J221" s="192"/>
      <c r="K221" s="192"/>
      <c r="L221" s="192"/>
      <c r="M221" s="192"/>
      <c r="N221" s="192"/>
      <c r="O221" s="192"/>
      <c r="P221" s="192"/>
      <c r="Q221" s="192"/>
    </row>
    <row r="222" spans="1:17" hidden="1" outlineLevel="1" x14ac:dyDescent="0.25">
      <c r="B222" s="128" t="s">
        <v>48</v>
      </c>
      <c r="C222" s="6" t="s">
        <v>1</v>
      </c>
      <c r="D222" s="200">
        <v>30000</v>
      </c>
      <c r="E222" s="192"/>
      <c r="F222" s="192"/>
      <c r="G222" s="192"/>
      <c r="H222" s="192"/>
      <c r="I222" s="192"/>
      <c r="J222" s="192"/>
      <c r="K222" s="192"/>
      <c r="L222" s="192"/>
      <c r="M222" s="192"/>
      <c r="N222" s="192"/>
      <c r="O222" s="192"/>
      <c r="P222" s="192"/>
      <c r="Q222" s="192"/>
    </row>
    <row r="223" spans="1:17" hidden="1" outlineLevel="1" x14ac:dyDescent="0.25">
      <c r="B223" s="128" t="s">
        <v>107</v>
      </c>
      <c r="C223" s="6" t="s">
        <v>1</v>
      </c>
      <c r="D223" s="200">
        <f>430000/10</f>
        <v>43000</v>
      </c>
      <c r="E223" s="192"/>
      <c r="F223" s="192"/>
      <c r="G223" s="192"/>
      <c r="H223" s="192"/>
      <c r="I223" s="192"/>
      <c r="J223" s="192"/>
      <c r="K223" s="192"/>
      <c r="L223" s="192"/>
      <c r="M223" s="192"/>
      <c r="N223" s="192"/>
      <c r="O223" s="192"/>
      <c r="P223" s="192"/>
      <c r="Q223" s="192"/>
    </row>
    <row r="224" spans="1:17" hidden="1" outlineLevel="1" x14ac:dyDescent="0.25">
      <c r="B224" s="128" t="s">
        <v>245</v>
      </c>
      <c r="C224" s="6" t="s">
        <v>1</v>
      </c>
      <c r="D224" s="200">
        <f>60000</f>
        <v>60000</v>
      </c>
      <c r="E224" s="192"/>
      <c r="F224" s="200"/>
      <c r="G224" s="192"/>
      <c r="H224" s="192"/>
      <c r="I224" s="192"/>
      <c r="J224" s="192"/>
      <c r="K224" s="192"/>
      <c r="L224" s="192"/>
      <c r="M224" s="192"/>
      <c r="N224" s="192"/>
      <c r="O224" s="192"/>
      <c r="P224" s="192"/>
      <c r="Q224" s="192"/>
    </row>
    <row r="225" spans="1:17" hidden="1" outlineLevel="1" x14ac:dyDescent="0.25">
      <c r="B225" s="128"/>
      <c r="D225" s="200"/>
      <c r="E225" s="192"/>
      <c r="F225" s="192"/>
      <c r="G225" s="192"/>
      <c r="H225" s="192"/>
      <c r="I225" s="192"/>
      <c r="J225" s="192"/>
      <c r="K225" s="192"/>
      <c r="L225" s="192"/>
      <c r="M225" s="192"/>
      <c r="N225" s="192"/>
      <c r="O225" s="192"/>
      <c r="P225" s="192"/>
      <c r="Q225" s="192"/>
    </row>
    <row r="226" spans="1:17" hidden="1" outlineLevel="1" x14ac:dyDescent="0.25">
      <c r="A226" s="84" t="s">
        <v>591</v>
      </c>
      <c r="B226" s="140" t="s">
        <v>316</v>
      </c>
      <c r="C226" s="116" t="s">
        <v>1</v>
      </c>
      <c r="D226" s="197">
        <f>+D217*0.1</f>
        <v>50000</v>
      </c>
      <c r="E226" s="192"/>
      <c r="F226" s="192"/>
      <c r="G226" s="192"/>
      <c r="H226" s="192"/>
      <c r="I226" s="192"/>
      <c r="J226" s="192"/>
      <c r="K226" s="192"/>
      <c r="L226" s="192"/>
      <c r="M226" s="192"/>
      <c r="N226" s="192"/>
      <c r="O226" s="192"/>
      <c r="P226" s="192"/>
      <c r="Q226" s="192"/>
    </row>
    <row r="227" spans="1:17" hidden="1" outlineLevel="1" x14ac:dyDescent="0.25">
      <c r="A227" s="84"/>
      <c r="B227" s="140"/>
      <c r="D227" s="206"/>
      <c r="E227" s="192"/>
      <c r="F227" s="192"/>
      <c r="G227" s="192"/>
      <c r="H227" s="192"/>
      <c r="I227" s="192"/>
      <c r="J227" s="192"/>
      <c r="K227" s="192"/>
      <c r="L227" s="192"/>
      <c r="M227" s="192"/>
      <c r="N227" s="192"/>
      <c r="O227" s="192"/>
      <c r="P227" s="192"/>
      <c r="Q227" s="192"/>
    </row>
    <row r="228" spans="1:17" hidden="1" outlineLevel="1" x14ac:dyDescent="0.25">
      <c r="A228" s="84" t="s">
        <v>592</v>
      </c>
      <c r="B228" s="140" t="s">
        <v>347</v>
      </c>
      <c r="C228" s="116" t="s">
        <v>1</v>
      </c>
      <c r="D228" s="197">
        <f>+D217*8%</f>
        <v>40000</v>
      </c>
      <c r="E228" s="192"/>
      <c r="F228" s="192"/>
      <c r="G228" s="192"/>
      <c r="H228" s="192"/>
      <c r="I228" s="192"/>
      <c r="J228" s="192"/>
      <c r="K228" s="192"/>
      <c r="L228" s="192"/>
      <c r="M228" s="192"/>
      <c r="N228" s="192"/>
      <c r="O228" s="192"/>
      <c r="P228" s="192"/>
      <c r="Q228" s="192"/>
    </row>
    <row r="229" spans="1:17" hidden="1" outlineLevel="1" x14ac:dyDescent="0.25">
      <c r="B229" s="115"/>
      <c r="D229" s="207"/>
      <c r="E229" s="192"/>
      <c r="F229" s="192"/>
      <c r="G229" s="207"/>
      <c r="H229" s="207"/>
      <c r="I229" s="207"/>
      <c r="J229" s="207"/>
      <c r="K229" s="207"/>
      <c r="L229" s="207"/>
      <c r="M229" s="207"/>
      <c r="N229" s="207"/>
      <c r="O229" s="192"/>
      <c r="P229" s="192"/>
      <c r="Q229" s="192"/>
    </row>
    <row r="230" spans="1:17" hidden="1" outlineLevel="1" x14ac:dyDescent="0.25">
      <c r="A230" s="84" t="s">
        <v>593</v>
      </c>
      <c r="B230" s="140" t="s">
        <v>594</v>
      </c>
      <c r="C230" s="116" t="s">
        <v>1</v>
      </c>
      <c r="D230" s="197">
        <f>SUM(D231:D232)</f>
        <v>246158.02266666666</v>
      </c>
      <c r="E230" s="192"/>
      <c r="F230" s="192"/>
      <c r="G230" s="192"/>
      <c r="H230" s="192"/>
      <c r="I230" s="192"/>
      <c r="J230" s="192"/>
      <c r="K230" s="192"/>
      <c r="L230" s="192"/>
      <c r="M230" s="192"/>
      <c r="N230" s="192"/>
      <c r="O230" s="192"/>
      <c r="P230" s="192"/>
      <c r="Q230" s="192"/>
    </row>
    <row r="231" spans="1:17" hidden="1" outlineLevel="1" x14ac:dyDescent="0.25">
      <c r="B231" s="443" t="s">
        <v>540</v>
      </c>
      <c r="C231" s="6" t="s">
        <v>1</v>
      </c>
      <c r="D231" s="200">
        <f>+(E96+E115)/3</f>
        <v>196158.02266666666</v>
      </c>
      <c r="E231" s="192"/>
      <c r="F231" s="192"/>
      <c r="G231" s="192"/>
      <c r="H231" s="192"/>
      <c r="I231" s="192"/>
      <c r="J231" s="192"/>
      <c r="K231" s="192"/>
      <c r="L231" s="192"/>
      <c r="M231" s="192"/>
      <c r="N231" s="192"/>
      <c r="O231" s="192"/>
      <c r="P231" s="192"/>
      <c r="Q231" s="192"/>
    </row>
    <row r="232" spans="1:17" hidden="1" outlineLevel="1" x14ac:dyDescent="0.25">
      <c r="A232" s="79"/>
      <c r="B232" s="118" t="s">
        <v>541</v>
      </c>
      <c r="C232" s="6" t="s">
        <v>1</v>
      </c>
      <c r="D232" s="200">
        <v>50000</v>
      </c>
      <c r="E232" s="192"/>
      <c r="F232" s="192"/>
      <c r="G232" s="192"/>
      <c r="H232" s="192"/>
      <c r="I232" s="192"/>
      <c r="J232" s="192"/>
      <c r="K232" s="192"/>
      <c r="L232" s="192"/>
      <c r="M232" s="192"/>
      <c r="N232" s="192"/>
      <c r="O232" s="192"/>
      <c r="P232" s="192"/>
      <c r="Q232" s="192"/>
    </row>
    <row r="233" spans="1:17" hidden="1" outlineLevel="1" x14ac:dyDescent="0.25">
      <c r="A233" s="79"/>
      <c r="B233" s="118"/>
      <c r="D233" s="200"/>
      <c r="E233" s="192"/>
      <c r="F233" s="192"/>
      <c r="G233" s="192"/>
      <c r="H233" s="192"/>
      <c r="I233" s="192"/>
      <c r="J233" s="192"/>
      <c r="K233" s="192"/>
      <c r="L233" s="192"/>
      <c r="M233" s="192"/>
      <c r="N233" s="192"/>
      <c r="O233" s="192"/>
      <c r="P233" s="192"/>
      <c r="Q233" s="192"/>
    </row>
    <row r="234" spans="1:17" hidden="1" outlineLevel="1" x14ac:dyDescent="0.25">
      <c r="A234" s="84" t="s">
        <v>595</v>
      </c>
      <c r="B234" s="140" t="s">
        <v>28</v>
      </c>
      <c r="C234" s="116" t="s">
        <v>1</v>
      </c>
      <c r="D234" s="197">
        <f>+D216*10%</f>
        <v>76300</v>
      </c>
      <c r="E234" s="192"/>
      <c r="F234" s="192"/>
      <c r="G234" s="192"/>
      <c r="H234" s="192"/>
      <c r="I234" s="192"/>
      <c r="J234" s="192"/>
      <c r="K234" s="192"/>
      <c r="L234" s="192"/>
      <c r="M234" s="192"/>
      <c r="N234" s="192"/>
      <c r="O234" s="192"/>
      <c r="P234" s="192"/>
      <c r="Q234" s="192"/>
    </row>
    <row r="235" spans="1:17" ht="18.75" collapsed="1" x14ac:dyDescent="0.3">
      <c r="B235" s="121"/>
      <c r="D235" s="192"/>
      <c r="E235" s="192"/>
      <c r="F235" s="192"/>
      <c r="G235" s="192"/>
      <c r="H235" s="192"/>
      <c r="I235" s="192"/>
      <c r="J235" s="192"/>
      <c r="K235" s="192"/>
      <c r="L235" s="192"/>
      <c r="M235" s="192"/>
      <c r="N235" s="192"/>
      <c r="O235" s="192"/>
      <c r="P235" s="192"/>
      <c r="Q235" s="192"/>
    </row>
    <row r="236" spans="1:17" ht="18.75" x14ac:dyDescent="0.3">
      <c r="A236" s="142" t="s">
        <v>614</v>
      </c>
      <c r="B236" s="143" t="s">
        <v>494</v>
      </c>
      <c r="C236" s="144" t="s">
        <v>1</v>
      </c>
      <c r="D236" s="208">
        <f t="shared" ref="D236:N236" si="65">+D192+D195+D197+D210</f>
        <v>-1243693.5481075365</v>
      </c>
      <c r="E236" s="208">
        <f t="shared" si="65"/>
        <v>-64617.010173333198</v>
      </c>
      <c r="F236" s="208">
        <f t="shared" si="65"/>
        <v>255927.56292818184</v>
      </c>
      <c r="G236" s="208">
        <f t="shared" si="65"/>
        <v>365588.30206000019</v>
      </c>
      <c r="H236" s="208">
        <f t="shared" si="65"/>
        <v>724292.06761741953</v>
      </c>
      <c r="I236" s="208">
        <f t="shared" si="65"/>
        <v>778385.65887333348</v>
      </c>
      <c r="J236" s="208">
        <f t="shared" si="65"/>
        <v>778970.65887333348</v>
      </c>
      <c r="K236" s="208">
        <f t="shared" si="65"/>
        <v>778970.65887333348</v>
      </c>
      <c r="L236" s="208">
        <f t="shared" si="65"/>
        <v>778970.65887333348</v>
      </c>
      <c r="M236" s="208">
        <f t="shared" si="65"/>
        <v>778970.65887333348</v>
      </c>
      <c r="N236" s="208">
        <f t="shared" si="65"/>
        <v>778970.65887333348</v>
      </c>
      <c r="O236" s="192"/>
      <c r="P236" s="192"/>
      <c r="Q236" s="192"/>
    </row>
    <row r="237" spans="1:17" ht="18.75" hidden="1" outlineLevel="1" x14ac:dyDescent="0.3">
      <c r="B237" s="121"/>
      <c r="C237" s="116"/>
      <c r="D237" s="195">
        <f>D236/((1+$D$251)^D1)</f>
        <v>-1243693.5481075365</v>
      </c>
      <c r="E237" s="195">
        <f>E236/((1+$D$251)^E1)</f>
        <v>-57061.302308921775</v>
      </c>
      <c r="F237" s="195">
        <f>F236/((1+$D$251)^F1)</f>
        <v>199575.25877679835</v>
      </c>
      <c r="G237" s="195">
        <f>G236/((1+$D$251)^G1)</f>
        <v>251754.21520629595</v>
      </c>
      <c r="H237" s="195">
        <f>H236/((1+$D$251)^H1)</f>
        <v>440446.34334605251</v>
      </c>
      <c r="I237" s="195">
        <f>I236/((1+$D$251)^I1)</f>
        <v>417992.91994728806</v>
      </c>
      <c r="J237" s="195">
        <f>J236/((1+$D$251)^J1)</f>
        <v>369394.15518013004</v>
      </c>
      <c r="K237" s="195">
        <f>K236/((1+$D$251)^K1)</f>
        <v>326200.66300407215</v>
      </c>
      <c r="L237" s="195">
        <f>L236/((1+$D$251)^L1)</f>
        <v>288057.81318442454</v>
      </c>
      <c r="M237" s="195">
        <f>M236/((1+$D$251)^M1)</f>
        <v>254375.0309163442</v>
      </c>
      <c r="N237" s="195">
        <f>N236/((1+$D$251)^N1)</f>
        <v>224630.79768040744</v>
      </c>
      <c r="O237" s="192"/>
      <c r="P237" s="192"/>
      <c r="Q237" s="192"/>
    </row>
    <row r="238" spans="1:17" ht="18.75" hidden="1" outlineLevel="1" x14ac:dyDescent="0.3">
      <c r="A238" s="361"/>
      <c r="B238" s="362" t="s">
        <v>375</v>
      </c>
      <c r="C238" s="363"/>
      <c r="D238" s="196"/>
      <c r="E238" s="196"/>
      <c r="F238" s="196"/>
      <c r="G238" s="196"/>
      <c r="H238" s="196"/>
      <c r="I238" s="196"/>
      <c r="J238" s="196"/>
      <c r="K238" s="196"/>
      <c r="L238" s="196"/>
      <c r="M238" s="196"/>
      <c r="N238" s="365">
        <f>+N236*(1+C239)/(D251-C239)</f>
        <v>5882847.9149006614</v>
      </c>
      <c r="O238" s="192"/>
      <c r="P238" s="192"/>
      <c r="Q238" s="192"/>
    </row>
    <row r="239" spans="1:17" ht="18.75" hidden="1" outlineLevel="1" x14ac:dyDescent="0.3">
      <c r="A239" s="361"/>
      <c r="B239" s="362" t="s">
        <v>274</v>
      </c>
      <c r="C239" s="364">
        <v>0</v>
      </c>
      <c r="D239" s="192"/>
      <c r="E239" s="192"/>
      <c r="F239" s="192"/>
      <c r="G239" s="192"/>
      <c r="H239" s="192"/>
      <c r="I239" s="192"/>
      <c r="J239" s="192"/>
      <c r="K239" s="192"/>
      <c r="L239" s="192"/>
      <c r="M239" s="192"/>
      <c r="N239" s="366"/>
      <c r="O239" s="192"/>
      <c r="P239" s="192"/>
      <c r="Q239" s="192"/>
    </row>
    <row r="240" spans="1:17" s="6" customFormat="1" ht="18.75" hidden="1" outlineLevel="1" x14ac:dyDescent="0.3">
      <c r="A240"/>
      <c r="B240" s="133"/>
      <c r="C240" s="117"/>
      <c r="D240" s="192"/>
      <c r="E240" s="192"/>
      <c r="F240" s="192"/>
      <c r="G240" s="192"/>
      <c r="H240" s="192"/>
      <c r="I240" s="192"/>
      <c r="J240" s="192"/>
      <c r="K240" s="192"/>
      <c r="L240" s="192"/>
      <c r="M240" s="192"/>
      <c r="N240" s="195"/>
      <c r="O240" s="192"/>
      <c r="P240" s="192"/>
      <c r="Q240" s="192"/>
    </row>
    <row r="241" spans="1:17" s="6" customFormat="1" ht="18.75" collapsed="1" x14ac:dyDescent="0.3">
      <c r="A241"/>
      <c r="B241" s="121"/>
      <c r="C241" s="117"/>
      <c r="D241" s="192"/>
      <c r="E241" s="192"/>
      <c r="F241" s="192"/>
      <c r="G241" s="192"/>
      <c r="H241" s="192"/>
      <c r="I241" s="192"/>
      <c r="J241" s="192"/>
      <c r="K241" s="192"/>
      <c r="L241" s="192"/>
      <c r="M241" s="192"/>
      <c r="N241" s="195"/>
      <c r="O241" s="192"/>
      <c r="P241" s="192"/>
      <c r="Q241" s="192"/>
    </row>
    <row r="242" spans="1:17" s="6" customFormat="1" ht="18.75" x14ac:dyDescent="0.3">
      <c r="A242" s="142" t="s">
        <v>614</v>
      </c>
      <c r="B242" s="143" t="s">
        <v>552</v>
      </c>
      <c r="C242" s="144" t="s">
        <v>1</v>
      </c>
      <c r="D242" s="208">
        <f>+D236+D238</f>
        <v>-1243693.5481075365</v>
      </c>
      <c r="E242" s="208">
        <f t="shared" ref="E242:M242" si="66">+E236+E238</f>
        <v>-64617.010173333198</v>
      </c>
      <c r="F242" s="208">
        <f t="shared" si="66"/>
        <v>255927.56292818184</v>
      </c>
      <c r="G242" s="208">
        <f t="shared" si="66"/>
        <v>365588.30206000019</v>
      </c>
      <c r="H242" s="208">
        <f t="shared" si="66"/>
        <v>724292.06761741953</v>
      </c>
      <c r="I242" s="208">
        <f t="shared" si="66"/>
        <v>778385.65887333348</v>
      </c>
      <c r="J242" s="208">
        <f t="shared" si="66"/>
        <v>778970.65887333348</v>
      </c>
      <c r="K242" s="208">
        <f t="shared" si="66"/>
        <v>778970.65887333348</v>
      </c>
      <c r="L242" s="208">
        <f t="shared" si="66"/>
        <v>778970.65887333348</v>
      </c>
      <c r="M242" s="208">
        <f t="shared" si="66"/>
        <v>778970.65887333348</v>
      </c>
      <c r="N242" s="208">
        <f>+N236+N238</f>
        <v>6661818.573773995</v>
      </c>
      <c r="O242" s="192"/>
      <c r="P242" s="192"/>
      <c r="Q242" s="192"/>
    </row>
    <row r="243" spans="1:17" s="6" customFormat="1" ht="18.75" x14ac:dyDescent="0.3">
      <c r="A243"/>
      <c r="B243" s="121"/>
      <c r="C243" s="116"/>
      <c r="D243" s="195">
        <f>D242/((1+$D$251)^D1)</f>
        <v>-1243693.5481075365</v>
      </c>
      <c r="E243" s="195">
        <f>E242/((1+$D$251)^E1)</f>
        <v>-57061.302308921775</v>
      </c>
      <c r="F243" s="195">
        <f>F242/((1+$D$251)^F1)</f>
        <v>199575.25877679835</v>
      </c>
      <c r="G243" s="195">
        <f>G242/((1+$D$251)^G1)</f>
        <v>251754.21520629595</v>
      </c>
      <c r="H243" s="195">
        <f>H242/((1+$D$251)^H1)</f>
        <v>440446.34334605251</v>
      </c>
      <c r="I243" s="195">
        <f>I242/((1+$D$251)^I1)</f>
        <v>417992.91994728806</v>
      </c>
      <c r="J243" s="195">
        <f>J242/((1+$D$251)^J1)</f>
        <v>369394.15518013004</v>
      </c>
      <c r="K243" s="195">
        <f>K242/((1+$D$251)^K1)</f>
        <v>326200.66300407215</v>
      </c>
      <c r="L243" s="195">
        <f>L242/((1+$D$251)^L1)</f>
        <v>288057.81318442454</v>
      </c>
      <c r="M243" s="195">
        <f>M242/((1+$D$251)^M1)</f>
        <v>254375.0309163442</v>
      </c>
      <c r="N243" s="195">
        <f>N242/((1+$D$251)^N1)</f>
        <v>1921060.3161785337</v>
      </c>
      <c r="O243" s="192"/>
      <c r="P243" s="192"/>
      <c r="Q243" s="192"/>
    </row>
    <row r="244" spans="1:17" ht="22.5" customHeight="1" x14ac:dyDescent="0.25">
      <c r="D244" s="192"/>
      <c r="E244" s="192"/>
      <c r="F244" s="192"/>
      <c r="G244" s="192"/>
      <c r="H244" s="192"/>
      <c r="I244" s="192"/>
      <c r="J244" s="192"/>
      <c r="K244" s="192"/>
      <c r="L244" s="192"/>
      <c r="M244" s="192"/>
      <c r="N244" s="192"/>
      <c r="O244" s="192"/>
      <c r="P244" s="192"/>
      <c r="Q244" s="192"/>
    </row>
    <row r="245" spans="1:17" s="6" customFormat="1" ht="18.75" x14ac:dyDescent="0.3">
      <c r="A245" s="131" t="s">
        <v>369</v>
      </c>
      <c r="B245" s="132" t="s">
        <v>368</v>
      </c>
      <c r="C245" s="119"/>
      <c r="D245" s="209"/>
      <c r="E245" s="209">
        <f>+E163/-D210</f>
        <v>0.16719912418651561</v>
      </c>
      <c r="F245" s="209"/>
      <c r="G245" s="209"/>
      <c r="H245" s="209"/>
      <c r="I245" s="192"/>
      <c r="J245" s="192"/>
      <c r="K245" s="192"/>
      <c r="L245" s="192"/>
      <c r="M245" s="192"/>
      <c r="N245" s="192"/>
      <c r="O245" s="192"/>
      <c r="P245" s="192"/>
      <c r="Q245" s="192"/>
    </row>
    <row r="246" spans="1:17" s="6" customFormat="1" ht="18.75" hidden="1" x14ac:dyDescent="0.3">
      <c r="A246" s="131" t="s">
        <v>371</v>
      </c>
      <c r="B246" s="132" t="s">
        <v>370</v>
      </c>
      <c r="C246" s="119"/>
      <c r="D246" s="209"/>
      <c r="E246" s="210">
        <f>+(E163-E195)/-E185</f>
        <v>21.339704385185232</v>
      </c>
      <c r="F246" s="210">
        <f>+(F163-F195)/-F185</f>
        <v>91.438760759259267</v>
      </c>
      <c r="G246" s="210">
        <f>+(G163-G195)/-G185</f>
        <v>199.88465101234581</v>
      </c>
      <c r="H246" s="210">
        <f>+(H163-H195)/-H185</f>
        <v>634.08951429629644</v>
      </c>
      <c r="I246" s="192"/>
      <c r="J246" s="192"/>
      <c r="K246" s="192"/>
      <c r="L246" s="192"/>
      <c r="M246" s="192"/>
      <c r="N246" s="192"/>
      <c r="O246" s="192"/>
      <c r="P246" s="192"/>
      <c r="Q246" s="192"/>
    </row>
    <row r="247" spans="1:17" s="6" customFormat="1" ht="18.75" x14ac:dyDescent="0.3">
      <c r="A247" s="131" t="s">
        <v>372</v>
      </c>
      <c r="B247" s="132" t="s">
        <v>373</v>
      </c>
      <c r="C247" s="119"/>
      <c r="D247" s="209" t="s">
        <v>624</v>
      </c>
      <c r="E247" s="209"/>
      <c r="F247" s="209"/>
      <c r="G247" s="209"/>
      <c r="H247" s="209"/>
      <c r="I247" s="192"/>
      <c r="J247" s="192"/>
      <c r="K247" s="192"/>
      <c r="L247" s="192"/>
      <c r="M247" s="192"/>
      <c r="N247" s="192"/>
      <c r="O247" s="192"/>
      <c r="P247" s="192"/>
      <c r="Q247" s="192"/>
    </row>
    <row r="249" spans="1:17" s="6" customFormat="1" ht="18.75" x14ac:dyDescent="0.3">
      <c r="A249" s="131" t="s">
        <v>336</v>
      </c>
      <c r="B249" s="132" t="s">
        <v>446</v>
      </c>
      <c r="C249" s="119" t="s">
        <v>1</v>
      </c>
      <c r="D249" s="202">
        <f>+D242+NPV(D251,E242:N242)</f>
        <v>3168101.8653234821</v>
      </c>
      <c r="E249" s="192"/>
      <c r="F249" s="192"/>
      <c r="G249" s="192"/>
      <c r="H249" s="192"/>
      <c r="I249" s="192"/>
      <c r="J249" s="192"/>
      <c r="K249" s="192"/>
      <c r="L249" s="192"/>
      <c r="M249" s="192"/>
      <c r="N249" s="192"/>
      <c r="O249" s="192"/>
      <c r="P249" s="192"/>
      <c r="Q249" s="192"/>
    </row>
    <row r="250" spans="1:17" s="6" customFormat="1" ht="18.75" x14ac:dyDescent="0.3">
      <c r="A250" s="131" t="s">
        <v>337</v>
      </c>
      <c r="B250" s="132" t="s">
        <v>320</v>
      </c>
      <c r="C250" s="119" t="s">
        <v>29</v>
      </c>
      <c r="D250" s="211">
        <f>+IRR(D242:N242)</f>
        <v>0.36147725843629219</v>
      </c>
      <c r="E250" s="192"/>
      <c r="F250" s="192"/>
      <c r="G250" s="192"/>
      <c r="H250" s="192"/>
      <c r="I250" s="192"/>
      <c r="J250" s="192"/>
      <c r="K250" s="192"/>
      <c r="L250" s="192"/>
      <c r="M250" s="192"/>
      <c r="N250" s="192"/>
      <c r="O250" s="192"/>
      <c r="P250" s="192"/>
      <c r="Q250" s="192"/>
    </row>
    <row r="251" spans="1:17" s="6" customFormat="1" ht="18.75" x14ac:dyDescent="0.3">
      <c r="A251" s="159"/>
      <c r="B251" s="158" t="s">
        <v>445</v>
      </c>
      <c r="C251" s="160" t="s">
        <v>29</v>
      </c>
      <c r="D251" s="421">
        <f>+'Costo del Capital'!D7</f>
        <v>0.13241386997278634</v>
      </c>
      <c r="E251" s="192"/>
      <c r="F251" s="192"/>
      <c r="G251" s="192"/>
      <c r="H251" s="192"/>
      <c r="I251" s="192"/>
      <c r="J251" s="192"/>
      <c r="K251" s="192"/>
      <c r="L251" s="192"/>
      <c r="M251" s="192"/>
      <c r="N251" s="192"/>
      <c r="O251" s="192"/>
      <c r="P251" s="192"/>
      <c r="Q251" s="192"/>
    </row>
    <row r="252" spans="1:17" s="6" customFormat="1" x14ac:dyDescent="0.25">
      <c r="A252" s="141"/>
      <c r="B252"/>
      <c r="D252" s="192"/>
      <c r="E252" s="192"/>
      <c r="F252" s="192"/>
      <c r="G252" s="192"/>
      <c r="H252" s="192"/>
      <c r="I252" s="192"/>
      <c r="J252" s="192"/>
      <c r="K252" s="192"/>
      <c r="L252" s="192"/>
      <c r="M252" s="192"/>
      <c r="N252" s="192"/>
      <c r="O252" s="192"/>
      <c r="P252" s="192"/>
      <c r="Q252" s="192"/>
    </row>
    <row r="253" spans="1:17" s="6" customFormat="1" x14ac:dyDescent="0.25">
      <c r="A253"/>
      <c r="B253"/>
      <c r="P253"/>
    </row>
    <row r="254" spans="1:17" s="6" customFormat="1" x14ac:dyDescent="0.25">
      <c r="A254"/>
      <c r="B254"/>
      <c r="P254"/>
    </row>
    <row r="255" spans="1:17" s="6" customFormat="1" x14ac:dyDescent="0.25">
      <c r="A255"/>
      <c r="B255" t="s">
        <v>627</v>
      </c>
      <c r="P255"/>
    </row>
    <row r="256" spans="1:17" s="6" customFormat="1" x14ac:dyDescent="0.25">
      <c r="A256"/>
      <c r="B256"/>
      <c r="P256"/>
    </row>
    <row r="260" spans="1:16" s="6" customFormat="1" x14ac:dyDescent="0.25">
      <c r="A260"/>
      <c r="B260"/>
      <c r="P260"/>
    </row>
    <row r="262" spans="1:16" s="6" customFormat="1" x14ac:dyDescent="0.25">
      <c r="A262"/>
      <c r="B262"/>
      <c r="P262"/>
    </row>
  </sheetData>
  <dataConsolidate topLabels="1"/>
  <mergeCells count="18">
    <mergeCell ref="E5:F5"/>
    <mergeCell ref="K5:N5"/>
    <mergeCell ref="K6:M6"/>
    <mergeCell ref="K7:M7"/>
    <mergeCell ref="K8:M8"/>
    <mergeCell ref="K10:M10"/>
    <mergeCell ref="K11:M11"/>
    <mergeCell ref="A40:A41"/>
    <mergeCell ref="B17:C17"/>
    <mergeCell ref="K9:M9"/>
    <mergeCell ref="A76:A80"/>
    <mergeCell ref="A71:A72"/>
    <mergeCell ref="B5:C5"/>
    <mergeCell ref="B9:C9"/>
    <mergeCell ref="A62:A63"/>
    <mergeCell ref="A35:A39"/>
    <mergeCell ref="A56:A60"/>
    <mergeCell ref="A66:A70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5"/>
  <sheetViews>
    <sheetView workbookViewId="0">
      <pane xSplit="1" ySplit="1" topLeftCell="B17" activePane="bottomRight" state="frozen"/>
      <selection pane="topRight" activeCell="B1" sqref="B1"/>
      <selection pane="bottomLeft" activeCell="A2" sqref="A2"/>
      <selection pane="bottomRight" activeCell="L19" sqref="L19"/>
    </sheetView>
  </sheetViews>
  <sheetFormatPr baseColWidth="10" defaultRowHeight="15" x14ac:dyDescent="0.25"/>
  <cols>
    <col min="1" max="1" width="31" bestFit="1" customWidth="1"/>
    <col min="2" max="12" width="12.140625" customWidth="1"/>
  </cols>
  <sheetData>
    <row r="1" spans="1:12" ht="19.5" thickBot="1" x14ac:dyDescent="0.35">
      <c r="A1" s="562" t="s">
        <v>492</v>
      </c>
      <c r="B1" s="431" t="s">
        <v>278</v>
      </c>
      <c r="C1" s="431" t="s">
        <v>279</v>
      </c>
      <c r="D1" s="431" t="s">
        <v>183</v>
      </c>
      <c r="E1" s="431" t="s">
        <v>184</v>
      </c>
      <c r="F1" s="431" t="s">
        <v>185</v>
      </c>
      <c r="G1" s="431" t="s">
        <v>186</v>
      </c>
      <c r="H1" s="431" t="s">
        <v>187</v>
      </c>
      <c r="I1" s="431" t="s">
        <v>188</v>
      </c>
      <c r="J1" s="431" t="s">
        <v>189</v>
      </c>
      <c r="K1" s="431" t="s">
        <v>190</v>
      </c>
      <c r="L1" s="432" t="s">
        <v>191</v>
      </c>
    </row>
    <row r="2" spans="1:12" x14ac:dyDescent="0.25">
      <c r="A2" s="430" t="s">
        <v>501</v>
      </c>
      <c r="B2" s="472">
        <v>0</v>
      </c>
      <c r="C2" s="467">
        <f>+'CASH FLOW (US$)'!E53</f>
        <v>2419883</v>
      </c>
      <c r="D2" s="467">
        <f>+'CASH FLOW (US$)'!F53</f>
        <v>2657792.0499999998</v>
      </c>
      <c r="E2" s="467">
        <f>+'CASH FLOW (US$)'!G53</f>
        <v>2891168.6</v>
      </c>
      <c r="F2" s="467">
        <f>+'CASH FLOW (US$)'!H53</f>
        <v>3505120.2</v>
      </c>
      <c r="G2" s="467">
        <f>+'CASH FLOW (US$)'!I53</f>
        <v>3505120.2</v>
      </c>
      <c r="H2" s="467">
        <f>+'CASH FLOW (US$)'!J53</f>
        <v>3505120.2</v>
      </c>
      <c r="I2" s="467">
        <f>+'CASH FLOW (US$)'!K53</f>
        <v>3505120.2</v>
      </c>
      <c r="J2" s="467">
        <f>+'CASH FLOW (US$)'!L53</f>
        <v>3505120.2</v>
      </c>
      <c r="K2" s="467">
        <f>+'CASH FLOW (US$)'!M53</f>
        <v>3505120.2</v>
      </c>
      <c r="L2" s="470">
        <f>+'CASH FLOW (US$)'!N53</f>
        <v>3505120.2</v>
      </c>
    </row>
    <row r="3" spans="1:12" x14ac:dyDescent="0.25">
      <c r="A3" s="424" t="s">
        <v>502</v>
      </c>
      <c r="B3" s="473"/>
      <c r="C3" s="438">
        <f>+'CASH FLOW (US$)'!E192</f>
        <v>35783.7998266668</v>
      </c>
      <c r="D3" s="438">
        <f>+'CASH FLOW (US$)'!F192</f>
        <v>170393.69927666668</v>
      </c>
      <c r="E3" s="438">
        <f>+'CASH FLOW (US$)'!G192</f>
        <v>279180.93692666688</v>
      </c>
      <c r="F3" s="438">
        <f>+'CASH FLOW (US$)'!H192</f>
        <v>665884.85660666681</v>
      </c>
      <c r="G3" s="438">
        <f>+'CASH FLOW (US$)'!I192</f>
        <v>666469.85660666681</v>
      </c>
      <c r="H3" s="438">
        <f>+'CASH FLOW (US$)'!J192</f>
        <v>667054.85660666681</v>
      </c>
      <c r="I3" s="438">
        <f>+'CASH FLOW (US$)'!K192</f>
        <v>667054.85660666681</v>
      </c>
      <c r="J3" s="438">
        <f>+'CASH FLOW (US$)'!L192</f>
        <v>667054.85660666681</v>
      </c>
      <c r="K3" s="438">
        <f>+'CASH FLOW (US$)'!M192</f>
        <v>667054.85660666681</v>
      </c>
      <c r="L3" s="439">
        <f>+'CASH FLOW (US$)'!N192</f>
        <v>667054.85660666681</v>
      </c>
    </row>
    <row r="4" spans="1:12" x14ac:dyDescent="0.25">
      <c r="A4" s="424" t="s">
        <v>503</v>
      </c>
      <c r="B4" s="473"/>
      <c r="C4" s="456">
        <f>+C17/C31</f>
        <v>3.4219628644881372</v>
      </c>
      <c r="D4" s="456">
        <f t="shared" ref="C4:L4" si="0">+D17/D31</f>
        <v>5.4746503346711828</v>
      </c>
      <c r="E4" s="456">
        <f t="shared" si="0"/>
        <v>8.4123865179389856</v>
      </c>
      <c r="F4" s="456">
        <f t="shared" si="0"/>
        <v>14.496188488433924</v>
      </c>
      <c r="G4" s="456">
        <f t="shared" si="0"/>
        <v>12.449156560623727</v>
      </c>
      <c r="H4" s="456">
        <f t="shared" si="0"/>
        <v>14.474680565016921</v>
      </c>
      <c r="I4" s="456">
        <f t="shared" si="0"/>
        <v>16.744272366020365</v>
      </c>
      <c r="J4" s="456">
        <f t="shared" si="0"/>
        <v>19.013864167023726</v>
      </c>
      <c r="K4" s="456">
        <f t="shared" si="0"/>
        <v>21.283455968027091</v>
      </c>
      <c r="L4" s="459">
        <f t="shared" si="0"/>
        <v>23.553047769030535</v>
      </c>
    </row>
    <row r="5" spans="1:12" x14ac:dyDescent="0.25">
      <c r="A5" s="424" t="s">
        <v>504</v>
      </c>
      <c r="B5" s="474"/>
      <c r="C5" s="456">
        <f>+C42/C43</f>
        <v>0.21330324222410646</v>
      </c>
      <c r="D5" s="456">
        <f t="shared" ref="D5:L5" si="1">+D42/D43</f>
        <v>0.16754363578331169</v>
      </c>
      <c r="E5" s="456">
        <f t="shared" si="1"/>
        <v>0.12314069711031331</v>
      </c>
      <c r="F5" s="456">
        <f t="shared" si="1"/>
        <v>7.6376405237403702E-2</v>
      </c>
      <c r="G5" s="456">
        <f t="shared" si="1"/>
        <v>7.4180736321067101E-2</v>
      </c>
      <c r="H5" s="456">
        <f t="shared" si="1"/>
        <v>5.5157633950820593E-2</v>
      </c>
      <c r="I5" s="456">
        <f t="shared" si="1"/>
        <v>5.1311135304523636E-2</v>
      </c>
      <c r="J5" s="456">
        <f>+J42/J43</f>
        <v>4.7966145660553308E-2</v>
      </c>
      <c r="K5" s="456">
        <f t="shared" si="1"/>
        <v>4.5030587008217049E-2</v>
      </c>
      <c r="L5" s="459">
        <f t="shared" si="1"/>
        <v>4.243362230740489E-2</v>
      </c>
    </row>
    <row r="6" spans="1:12" x14ac:dyDescent="0.25">
      <c r="A6" s="424" t="s">
        <v>505</v>
      </c>
      <c r="B6" s="473"/>
      <c r="C6" s="438">
        <f t="shared" ref="C6:L6" si="2">+C39/C2*365</f>
        <v>22.625060798393971</v>
      </c>
      <c r="D6" s="438">
        <f t="shared" si="2"/>
        <v>16.479844613877898</v>
      </c>
      <c r="E6" s="438">
        <f t="shared" si="2"/>
        <v>11.362187594317398</v>
      </c>
      <c r="F6" s="438">
        <f t="shared" si="2"/>
        <v>6.2480025649334365</v>
      </c>
      <c r="G6" s="438">
        <f t="shared" si="2"/>
        <v>3.1240012824667183</v>
      </c>
      <c r="H6" s="438">
        <f t="shared" si="2"/>
        <v>0</v>
      </c>
      <c r="I6" s="438">
        <f t="shared" si="2"/>
        <v>0</v>
      </c>
      <c r="J6" s="438">
        <f t="shared" si="2"/>
        <v>0</v>
      </c>
      <c r="K6" s="438">
        <f t="shared" si="2"/>
        <v>0</v>
      </c>
      <c r="L6" s="439">
        <f t="shared" si="2"/>
        <v>0</v>
      </c>
    </row>
    <row r="7" spans="1:12" x14ac:dyDescent="0.25">
      <c r="A7" s="424" t="s">
        <v>508</v>
      </c>
      <c r="B7" s="473"/>
      <c r="C7" s="438">
        <f>+C22/'CASH FLOW (US$)'!E89*365</f>
        <v>33.054489645649717</v>
      </c>
      <c r="D7" s="438">
        <f>+D22/'CASH FLOW (US$)'!F89*365</f>
        <v>33.054489645649717</v>
      </c>
      <c r="E7" s="438">
        <f>+E22/'CASH FLOW (US$)'!G89*365</f>
        <v>33.204613939435028</v>
      </c>
      <c r="F7" s="438">
        <f>+F22/'CASH FLOW (US$)'!H89*365</f>
        <v>33.204613939435028</v>
      </c>
      <c r="G7" s="438">
        <f>+G22/'CASH FLOW (US$)'!I89*365</f>
        <v>33.204613939435028</v>
      </c>
      <c r="H7" s="438">
        <f>+H22/'CASH FLOW (US$)'!J89*365</f>
        <v>33.204613939435028</v>
      </c>
      <c r="I7" s="438">
        <f>+I22/'CASH FLOW (US$)'!K89*365</f>
        <v>33.204613939435028</v>
      </c>
      <c r="J7" s="438">
        <f>+J22/'CASH FLOW (US$)'!L89*365</f>
        <v>33.204613939435028</v>
      </c>
      <c r="K7" s="438">
        <f>+K22/'CASH FLOW (US$)'!M89*365</f>
        <v>33.204613939435028</v>
      </c>
      <c r="L7" s="439">
        <f>+L22/'CASH FLOW (US$)'!N89*365</f>
        <v>33.204613939435028</v>
      </c>
    </row>
    <row r="8" spans="1:12" x14ac:dyDescent="0.25">
      <c r="A8" s="424" t="s">
        <v>506</v>
      </c>
      <c r="B8" s="473"/>
      <c r="C8" s="148">
        <f t="shared" ref="C8:L8" si="3">+C2/C30</f>
        <v>1.5588072211307555</v>
      </c>
      <c r="D8" s="148">
        <f t="shared" si="3"/>
        <v>1.5700681356624475</v>
      </c>
      <c r="E8" s="148">
        <f t="shared" si="3"/>
        <v>1.4887823234441586</v>
      </c>
      <c r="F8" s="148">
        <f t="shared" si="3"/>
        <v>1.3597049599301896</v>
      </c>
      <c r="G8" s="148">
        <f t="shared" si="3"/>
        <v>1.5829305949427905</v>
      </c>
      <c r="H8" s="148">
        <f t="shared" si="3"/>
        <v>1.4906662693633039</v>
      </c>
      <c r="I8" s="148">
        <f t="shared" si="3"/>
        <v>1.3917861195875143</v>
      </c>
      <c r="J8" s="148">
        <f t="shared" si="3"/>
        <v>1.3052079496746118</v>
      </c>
      <c r="K8" s="148">
        <f t="shared" si="3"/>
        <v>1.2287704190597541</v>
      </c>
      <c r="L8" s="433">
        <f t="shared" si="3"/>
        <v>1.1607904792955837</v>
      </c>
    </row>
    <row r="9" spans="1:12" x14ac:dyDescent="0.25">
      <c r="A9" s="424" t="s">
        <v>507</v>
      </c>
      <c r="B9" s="473"/>
      <c r="C9" s="438">
        <f>+C33/'CASH FLOW (US$)'!E89*365</f>
        <v>30.416666666666671</v>
      </c>
      <c r="D9" s="438">
        <f>+D33/'CASH FLOW (US$)'!F89*365</f>
        <v>30.416666666666671</v>
      </c>
      <c r="E9" s="438">
        <f>+E33/'CASH FLOW (US$)'!G89*365</f>
        <v>30.416666666666671</v>
      </c>
      <c r="F9" s="438">
        <f>+F33/'CASH FLOW (US$)'!H89*365</f>
        <v>30.416666666666671</v>
      </c>
      <c r="G9" s="438">
        <f>+G33/'CASH FLOW (US$)'!I89*365</f>
        <v>30.416666666666671</v>
      </c>
      <c r="H9" s="438">
        <f>+H33/'CASH FLOW (US$)'!J89*365</f>
        <v>30.416666666666671</v>
      </c>
      <c r="I9" s="438">
        <f>+I33/'CASH FLOW (US$)'!K89*365</f>
        <v>30.416666666666671</v>
      </c>
      <c r="J9" s="438">
        <f>+J33/'CASH FLOW (US$)'!L89*365</f>
        <v>30.416666666666671</v>
      </c>
      <c r="K9" s="438">
        <f>+K33/'CASH FLOW (US$)'!M89*365</f>
        <v>30.416666666666671</v>
      </c>
      <c r="L9" s="439">
        <f>+L33/'CASH FLOW (US$)'!N89*365</f>
        <v>30.416666666666671</v>
      </c>
    </row>
    <row r="10" spans="1:12" x14ac:dyDescent="0.25">
      <c r="A10" s="424" t="s">
        <v>509</v>
      </c>
      <c r="B10" s="473"/>
      <c r="C10" s="438">
        <f>+C20/C2*365</f>
        <v>30.416666666666664</v>
      </c>
      <c r="D10" s="438">
        <f t="shared" ref="D10:L10" si="4">+D20/D2*365</f>
        <v>30.416666666666664</v>
      </c>
      <c r="E10" s="438">
        <f t="shared" si="4"/>
        <v>30.416666666666664</v>
      </c>
      <c r="F10" s="438">
        <f t="shared" si="4"/>
        <v>30.416666666666671</v>
      </c>
      <c r="G10" s="438">
        <f t="shared" si="4"/>
        <v>30.416666666666671</v>
      </c>
      <c r="H10" s="438">
        <f t="shared" si="4"/>
        <v>30.416666666666671</v>
      </c>
      <c r="I10" s="438">
        <f t="shared" si="4"/>
        <v>30.416666666666671</v>
      </c>
      <c r="J10" s="438">
        <f t="shared" si="4"/>
        <v>30.416666666666671</v>
      </c>
      <c r="K10" s="438">
        <f t="shared" si="4"/>
        <v>30.416666666666671</v>
      </c>
      <c r="L10" s="439">
        <f t="shared" si="4"/>
        <v>30.416666666666671</v>
      </c>
    </row>
    <row r="11" spans="1:12" x14ac:dyDescent="0.25">
      <c r="A11" s="424" t="s">
        <v>510</v>
      </c>
      <c r="B11" s="473"/>
      <c r="C11" s="457">
        <f t="shared" ref="C11:L11" si="5">+C48/C30</f>
        <v>2.3050720042789543E-2</v>
      </c>
      <c r="D11" s="457">
        <f t="shared" si="5"/>
        <v>0.10065863420426131</v>
      </c>
      <c r="E11" s="457">
        <f t="shared" si="5"/>
        <v>0.14376181449224379</v>
      </c>
      <c r="F11" s="457">
        <f t="shared" si="5"/>
        <v>0.25830981267646341</v>
      </c>
      <c r="G11" s="457">
        <f t="shared" si="5"/>
        <v>0.30098126923859198</v>
      </c>
      <c r="H11" s="457">
        <f t="shared" si="5"/>
        <v>0.2836867547533844</v>
      </c>
      <c r="I11" s="457">
        <f t="shared" si="5"/>
        <v>0.26486900233224486</v>
      </c>
      <c r="J11" s="457">
        <f t="shared" si="5"/>
        <v>0.2483924236641242</v>
      </c>
      <c r="K11" s="457">
        <f t="shared" si="5"/>
        <v>0.23384569684326895</v>
      </c>
      <c r="L11" s="460">
        <f t="shared" si="5"/>
        <v>0.22090852311338699</v>
      </c>
    </row>
    <row r="12" spans="1:12" x14ac:dyDescent="0.25">
      <c r="A12" s="424" t="s">
        <v>511</v>
      </c>
      <c r="B12" s="473"/>
      <c r="C12" s="457">
        <f t="shared" ref="C12:L12" si="6">+C48/C43</f>
        <v>2.7967513363516751E-2</v>
      </c>
      <c r="D12" s="457">
        <f t="shared" si="6"/>
        <v>0.11752334775182564</v>
      </c>
      <c r="E12" s="457">
        <f t="shared" si="6"/>
        <v>0.16146474454666224</v>
      </c>
      <c r="F12" s="457">
        <f t="shared" si="6"/>
        <v>0.27803858760623912</v>
      </c>
      <c r="G12" s="457">
        <f t="shared" si="6"/>
        <v>0.32330828140955997</v>
      </c>
      <c r="H12" s="457">
        <f t="shared" si="6"/>
        <v>0.29933424492876726</v>
      </c>
      <c r="I12" s="457">
        <f t="shared" si="6"/>
        <v>0.27845973154888914</v>
      </c>
      <c r="J12" s="457">
        <f t="shared" si="6"/>
        <v>0.2603068508385753</v>
      </c>
      <c r="K12" s="457">
        <f t="shared" si="6"/>
        <v>0.24437590584146648</v>
      </c>
      <c r="L12" s="460">
        <f t="shared" si="6"/>
        <v>0.23028247194766721</v>
      </c>
    </row>
    <row r="13" spans="1:12" x14ac:dyDescent="0.25">
      <c r="A13" s="424" t="s">
        <v>512</v>
      </c>
      <c r="B13" s="473"/>
      <c r="C13" s="457">
        <f t="shared" ref="C13:L13" si="7">C48/C2</f>
        <v>1.4787409071705863E-2</v>
      </c>
      <c r="D13" s="457">
        <f t="shared" si="7"/>
        <v>6.4110997426102878E-2</v>
      </c>
      <c r="E13" s="457">
        <f t="shared" si="7"/>
        <v>9.6563353976197336E-2</v>
      </c>
      <c r="F13" s="457">
        <f t="shared" si="7"/>
        <v>0.18997489917939669</v>
      </c>
      <c r="G13" s="457">
        <f t="shared" si="7"/>
        <v>0.19014179787804902</v>
      </c>
      <c r="H13" s="457">
        <f t="shared" si="7"/>
        <v>0.19030869657670135</v>
      </c>
      <c r="I13" s="457">
        <f t="shared" si="7"/>
        <v>0.19030869657670135</v>
      </c>
      <c r="J13" s="457">
        <f t="shared" si="7"/>
        <v>0.19030869657670135</v>
      </c>
      <c r="K13" s="457">
        <f t="shared" si="7"/>
        <v>0.19030869657670135</v>
      </c>
      <c r="L13" s="460">
        <f t="shared" si="7"/>
        <v>0.19030869657670135</v>
      </c>
    </row>
    <row r="14" spans="1:12" ht="15.75" thickBot="1" x14ac:dyDescent="0.3">
      <c r="A14" s="425" t="s">
        <v>513</v>
      </c>
      <c r="B14" s="475"/>
      <c r="C14" s="440"/>
      <c r="D14" s="458">
        <f>+D2/C2-1</f>
        <v>9.8314278004349775E-2</v>
      </c>
      <c r="E14" s="458">
        <f t="shared" ref="E14:L14" si="8">+E2/D2-1</f>
        <v>8.7808431062166958E-2</v>
      </c>
      <c r="F14" s="458">
        <f t="shared" si="8"/>
        <v>0.21235413251236901</v>
      </c>
      <c r="G14" s="458">
        <f t="shared" si="8"/>
        <v>0</v>
      </c>
      <c r="H14" s="458">
        <f t="shared" si="8"/>
        <v>0</v>
      </c>
      <c r="I14" s="458">
        <f t="shared" si="8"/>
        <v>0</v>
      </c>
      <c r="J14" s="458">
        <f t="shared" si="8"/>
        <v>0</v>
      </c>
      <c r="K14" s="458">
        <f t="shared" si="8"/>
        <v>0</v>
      </c>
      <c r="L14" s="461">
        <f t="shared" si="8"/>
        <v>0</v>
      </c>
    </row>
    <row r="15" spans="1:12" ht="15.75" thickBot="1" x14ac:dyDescent="0.3"/>
    <row r="16" spans="1:12" ht="15.75" thickBot="1" x14ac:dyDescent="0.3">
      <c r="A16" s="563" t="s">
        <v>616</v>
      </c>
      <c r="B16" s="564"/>
      <c r="C16" s="564"/>
      <c r="D16" s="564"/>
      <c r="E16" s="564"/>
      <c r="F16" s="564"/>
      <c r="G16" s="564"/>
      <c r="H16" s="564"/>
      <c r="I16" s="564"/>
      <c r="J16" s="564"/>
      <c r="K16" s="564"/>
      <c r="L16" s="565"/>
    </row>
    <row r="17" spans="1:14" ht="15.75" thickBot="1" x14ac:dyDescent="0.3">
      <c r="A17" s="426" t="s">
        <v>514</v>
      </c>
      <c r="B17" s="523">
        <f>SUM(B18:B23)</f>
        <v>0</v>
      </c>
      <c r="C17" s="442">
        <f>SUM(C18:C23)</f>
        <v>420616.26876000024</v>
      </c>
      <c r="D17" s="442">
        <f t="shared" ref="D17:L17" si="9">SUM(D18:D23)</f>
        <v>672925.77030333295</v>
      </c>
      <c r="E17" s="442">
        <f t="shared" si="9"/>
        <v>1034022.5094966671</v>
      </c>
      <c r="F17" s="442">
        <f t="shared" si="9"/>
        <v>1781823.1683700033</v>
      </c>
      <c r="G17" s="442">
        <f t="shared" si="9"/>
        <v>1530208.8272433332</v>
      </c>
      <c r="H17" s="442">
        <f t="shared" si="9"/>
        <v>1779179.4861166633</v>
      </c>
      <c r="I17" s="442">
        <f t="shared" si="9"/>
        <v>2058150.1449900034</v>
      </c>
      <c r="J17" s="442">
        <f t="shared" si="9"/>
        <v>2337120.8038633331</v>
      </c>
      <c r="K17" s="442">
        <f>SUM(K18:K23)</f>
        <v>2616091.4627366634</v>
      </c>
      <c r="L17" s="462">
        <f t="shared" si="9"/>
        <v>2895062.1216100035</v>
      </c>
    </row>
    <row r="18" spans="1:14" x14ac:dyDescent="0.25">
      <c r="A18" s="427" t="s">
        <v>515</v>
      </c>
      <c r="B18" s="472"/>
      <c r="C18" s="468">
        <v>85382.989826666904</v>
      </c>
      <c r="D18" s="468">
        <v>317866.737203333</v>
      </c>
      <c r="E18" s="468">
        <v>658908.76389666705</v>
      </c>
      <c r="F18" s="468">
        <v>1355546.78943667</v>
      </c>
      <c r="G18" s="468">
        <v>1103932.4483099999</v>
      </c>
      <c r="H18" s="468">
        <v>1352903.10718333</v>
      </c>
      <c r="I18" s="468">
        <v>1631873.7660566701</v>
      </c>
      <c r="J18" s="468">
        <v>1910844.42493</v>
      </c>
      <c r="K18" s="468">
        <v>2189815.0838033301</v>
      </c>
      <c r="L18" s="469">
        <v>2468785.7426766702</v>
      </c>
    </row>
    <row r="19" spans="1:14" x14ac:dyDescent="0.25">
      <c r="A19" s="428" t="s">
        <v>516</v>
      </c>
      <c r="B19" s="521"/>
      <c r="C19" s="148"/>
      <c r="D19" s="148"/>
      <c r="E19" s="148"/>
      <c r="F19" s="148"/>
      <c r="G19" s="148"/>
      <c r="H19" s="148"/>
      <c r="I19" s="148"/>
      <c r="J19" s="148"/>
      <c r="K19" s="148"/>
      <c r="L19" s="433"/>
    </row>
    <row r="20" spans="1:14" x14ac:dyDescent="0.25">
      <c r="A20" s="428" t="s">
        <v>517</v>
      </c>
      <c r="B20" s="521">
        <f>+B2/12</f>
        <v>0</v>
      </c>
      <c r="C20" s="438">
        <f>+C2/12</f>
        <v>201656.91666666666</v>
      </c>
      <c r="D20" s="438">
        <f>+D2/12</f>
        <v>221482.67083333331</v>
      </c>
      <c r="E20" s="438">
        <f t="shared" ref="E20:L20" si="10">+E2/12</f>
        <v>240930.71666666667</v>
      </c>
      <c r="F20" s="438">
        <f t="shared" si="10"/>
        <v>292093.35000000003</v>
      </c>
      <c r="G20" s="438">
        <f t="shared" si="10"/>
        <v>292093.35000000003</v>
      </c>
      <c r="H20" s="438">
        <f t="shared" si="10"/>
        <v>292093.35000000003</v>
      </c>
      <c r="I20" s="438">
        <f t="shared" si="10"/>
        <v>292093.35000000003</v>
      </c>
      <c r="J20" s="438">
        <f t="shared" si="10"/>
        <v>292093.35000000003</v>
      </c>
      <c r="K20" s="438">
        <f t="shared" si="10"/>
        <v>292093.35000000003</v>
      </c>
      <c r="L20" s="439">
        <f t="shared" si="10"/>
        <v>292093.35000000003</v>
      </c>
    </row>
    <row r="21" spans="1:14" x14ac:dyDescent="0.25">
      <c r="A21" s="428" t="s">
        <v>522</v>
      </c>
      <c r="B21" s="473"/>
      <c r="C21" s="148"/>
      <c r="D21" s="148"/>
      <c r="E21" s="148"/>
      <c r="F21" s="148"/>
      <c r="G21" s="148"/>
      <c r="H21" s="148"/>
      <c r="I21" s="148"/>
      <c r="J21" s="148"/>
      <c r="K21" s="148"/>
      <c r="L21" s="433"/>
    </row>
    <row r="22" spans="1:14" x14ac:dyDescent="0.25">
      <c r="A22" s="428" t="s">
        <v>518</v>
      </c>
      <c r="B22" s="521"/>
      <c r="C22" s="438">
        <f>+'CASH FLOW (US$)'!E28/24*'CASH FLOW (US$)'!E91+0.4*'CASH FLOW (US$)'!E29*'CASH FLOW (US$)'!E86/12</f>
        <v>133576.36226666666</v>
      </c>
      <c r="D22" s="438">
        <f>+'CASH FLOW (US$)'!F28/24*'CASH FLOW (US$)'!F91+0.4*'CASH FLOW (US$)'!F29*'CASH FLOW (US$)'!F86/12</f>
        <v>133576.36226666666</v>
      </c>
      <c r="E22" s="438">
        <f>+'CASH FLOW (US$)'!G28/24*'CASH FLOW (US$)'!G91+0.4*'CASH FLOW (US$)'!G29*'CASH FLOW (US$)'!G86/12</f>
        <v>134183.02893333332</v>
      </c>
      <c r="F22" s="438">
        <f>+'CASH FLOW (US$)'!H28/24*'CASH FLOW (US$)'!H91+0.4*'CASH FLOW (US$)'!H29*'CASH FLOW (US$)'!H86/12</f>
        <v>134183.02893333332</v>
      </c>
      <c r="G22" s="438">
        <f>+'CASH FLOW (US$)'!I28/24*'CASH FLOW (US$)'!I91+0.4*'CASH FLOW (US$)'!I29*'CASH FLOW (US$)'!I86/12</f>
        <v>134183.02893333332</v>
      </c>
      <c r="H22" s="438">
        <f>+'CASH FLOW (US$)'!J28/24*'CASH FLOW (US$)'!J91+0.4*'CASH FLOW (US$)'!J29*'CASH FLOW (US$)'!J86/12</f>
        <v>134183.02893333332</v>
      </c>
      <c r="I22" s="438">
        <f>+'CASH FLOW (US$)'!K28/24*'CASH FLOW (US$)'!K91+0.4*'CASH FLOW (US$)'!K29*'CASH FLOW (US$)'!K86/12</f>
        <v>134183.02893333332</v>
      </c>
      <c r="J22" s="438">
        <f>+'CASH FLOW (US$)'!L28/24*'CASH FLOW (US$)'!L91+0.4*'CASH FLOW (US$)'!L29*'CASH FLOW (US$)'!L86/12</f>
        <v>134183.02893333332</v>
      </c>
      <c r="K22" s="438">
        <f>+'CASH FLOW (US$)'!M28/24*'CASH FLOW (US$)'!M91+0.4*'CASH FLOW (US$)'!M29*'CASH FLOW (US$)'!M86/12</f>
        <v>134183.02893333332</v>
      </c>
      <c r="L22" s="439">
        <f>+'CASH FLOW (US$)'!N28/24*'CASH FLOW (US$)'!N91+0.4*'CASH FLOW (US$)'!N29*'CASH FLOW (US$)'!N86/12</f>
        <v>134183.02893333332</v>
      </c>
    </row>
    <row r="23" spans="1:14" ht="15.75" thickBot="1" x14ac:dyDescent="0.3">
      <c r="A23" s="463" t="s">
        <v>519</v>
      </c>
      <c r="B23" s="522"/>
      <c r="C23" s="434"/>
      <c r="D23" s="434"/>
      <c r="E23" s="434"/>
      <c r="F23" s="434"/>
      <c r="G23" s="434"/>
      <c r="H23" s="434"/>
      <c r="I23" s="434"/>
      <c r="J23" s="434"/>
      <c r="K23" s="434"/>
      <c r="L23" s="435"/>
    </row>
    <row r="24" spans="1:14" ht="15.75" thickBot="1" x14ac:dyDescent="0.3">
      <c r="A24" s="426" t="s">
        <v>520</v>
      </c>
      <c r="B24" s="523">
        <f t="shared" ref="B24:L24" si="11">SUM(B25:B29)</f>
        <v>1243693.5481075365</v>
      </c>
      <c r="C24" s="442">
        <f>SUM(C25:C29)</f>
        <v>1131777.7458408698</v>
      </c>
      <c r="D24" s="442">
        <f t="shared" si="11"/>
        <v>1019861.9435742032</v>
      </c>
      <c r="E24" s="442">
        <f t="shared" si="11"/>
        <v>907946.14130753651</v>
      </c>
      <c r="F24" s="442">
        <f t="shared" si="11"/>
        <v>796030.33904086985</v>
      </c>
      <c r="G24" s="442">
        <f t="shared" si="11"/>
        <v>684114.53677420318</v>
      </c>
      <c r="H24" s="442">
        <f t="shared" si="11"/>
        <v>572198.73450753652</v>
      </c>
      <c r="I24" s="442">
        <f t="shared" si="11"/>
        <v>460282.93224086985</v>
      </c>
      <c r="J24" s="442">
        <f t="shared" si="11"/>
        <v>348367.12997420318</v>
      </c>
      <c r="K24" s="442">
        <f t="shared" si="11"/>
        <v>236451.32770753652</v>
      </c>
      <c r="L24" s="462">
        <f t="shared" si="11"/>
        <v>124535.52544086985</v>
      </c>
    </row>
    <row r="25" spans="1:14" x14ac:dyDescent="0.25">
      <c r="A25" s="464" t="s">
        <v>521</v>
      </c>
      <c r="B25" s="524"/>
      <c r="C25" s="465"/>
      <c r="D25" s="465"/>
      <c r="E25" s="465"/>
      <c r="F25" s="465"/>
      <c r="G25" s="465"/>
      <c r="H25" s="465"/>
      <c r="I25" s="465"/>
      <c r="J25" s="465"/>
      <c r="K25" s="465"/>
      <c r="L25" s="466"/>
    </row>
    <row r="26" spans="1:14" x14ac:dyDescent="0.25">
      <c r="A26" s="428" t="s">
        <v>517</v>
      </c>
      <c r="B26" s="521"/>
      <c r="C26" s="148"/>
      <c r="D26" s="148"/>
      <c r="E26" s="148"/>
      <c r="F26" s="148"/>
      <c r="G26" s="148"/>
      <c r="H26" s="148"/>
      <c r="I26" s="148"/>
      <c r="J26" s="148"/>
      <c r="K26" s="148"/>
      <c r="L26" s="433"/>
    </row>
    <row r="27" spans="1:14" x14ac:dyDescent="0.25">
      <c r="A27" s="428" t="s">
        <v>522</v>
      </c>
      <c r="B27" s="521"/>
      <c r="C27" s="148"/>
      <c r="D27" s="148"/>
      <c r="E27" s="148"/>
      <c r="F27" s="148"/>
      <c r="G27" s="148"/>
      <c r="H27" s="148"/>
      <c r="I27" s="148"/>
      <c r="J27" s="148"/>
      <c r="K27" s="148"/>
      <c r="L27" s="433"/>
    </row>
    <row r="28" spans="1:14" x14ac:dyDescent="0.25">
      <c r="A28" s="428" t="s">
        <v>523</v>
      </c>
      <c r="B28" s="473">
        <f>-'CASH FLOW (US$)'!$D$210</f>
        <v>1243693.5481075365</v>
      </c>
      <c r="C28" s="437">
        <f>+B28+'CASH FLOW (US$)'!E178</f>
        <v>1131777.7458408698</v>
      </c>
      <c r="D28" s="437">
        <f>+C28+'CASH FLOW (US$)'!F178</f>
        <v>1019861.9435742032</v>
      </c>
      <c r="E28" s="437">
        <f>+D28+'CASH FLOW (US$)'!G178</f>
        <v>907946.14130753651</v>
      </c>
      <c r="F28" s="437">
        <f>+E28+'CASH FLOW (US$)'!H178</f>
        <v>796030.33904086985</v>
      </c>
      <c r="G28" s="437">
        <f>+F28+'CASH FLOW (US$)'!I178</f>
        <v>684114.53677420318</v>
      </c>
      <c r="H28" s="437">
        <f>+G28+'CASH FLOW (US$)'!J178</f>
        <v>572198.73450753652</v>
      </c>
      <c r="I28" s="437">
        <f>+H28+'CASH FLOW (US$)'!K178</f>
        <v>460282.93224086985</v>
      </c>
      <c r="J28" s="437">
        <f>+I28+'CASH FLOW (US$)'!L178</f>
        <v>348367.12997420318</v>
      </c>
      <c r="K28" s="437">
        <f>+J28+'CASH FLOW (US$)'!M178</f>
        <v>236451.32770753652</v>
      </c>
      <c r="L28" s="525">
        <f>+K28+'CASH FLOW (US$)'!N178</f>
        <v>124535.52544086985</v>
      </c>
      <c r="N28" s="514"/>
    </row>
    <row r="29" spans="1:14" ht="15.75" thickBot="1" x14ac:dyDescent="0.3">
      <c r="A29" s="463" t="s">
        <v>524</v>
      </c>
      <c r="B29" s="522"/>
      <c r="C29" s="434"/>
      <c r="D29" s="434"/>
      <c r="E29" s="434"/>
      <c r="F29" s="434"/>
      <c r="G29" s="434"/>
      <c r="H29" s="434"/>
      <c r="I29" s="434"/>
      <c r="J29" s="434"/>
      <c r="K29" s="434"/>
      <c r="L29" s="435"/>
    </row>
    <row r="30" spans="1:14" ht="15.75" thickBot="1" x14ac:dyDescent="0.3">
      <c r="A30" s="426" t="s">
        <v>525</v>
      </c>
      <c r="B30" s="523">
        <f t="shared" ref="B30:L30" si="12">+B24+B17</f>
        <v>1243693.5481075365</v>
      </c>
      <c r="C30" s="442">
        <f>+C24+C17</f>
        <v>1552394.0146008702</v>
      </c>
      <c r="D30" s="442">
        <f t="shared" si="12"/>
        <v>1692787.7138775361</v>
      </c>
      <c r="E30" s="442">
        <f t="shared" si="12"/>
        <v>1941968.6508042035</v>
      </c>
      <c r="F30" s="442">
        <f t="shared" si="12"/>
        <v>2577853.5074108732</v>
      </c>
      <c r="G30" s="442">
        <f t="shared" si="12"/>
        <v>2214323.3640175364</v>
      </c>
      <c r="H30" s="442">
        <f t="shared" si="12"/>
        <v>2351378.2206242001</v>
      </c>
      <c r="I30" s="442">
        <f t="shared" si="12"/>
        <v>2518433.0772308735</v>
      </c>
      <c r="J30" s="442">
        <f t="shared" si="12"/>
        <v>2685487.9338375363</v>
      </c>
      <c r="K30" s="442">
        <f t="shared" si="12"/>
        <v>2852542.7904441999</v>
      </c>
      <c r="L30" s="462">
        <f t="shared" si="12"/>
        <v>3019597.6470508734</v>
      </c>
    </row>
    <row r="31" spans="1:14" ht="15.75" thickBot="1" x14ac:dyDescent="0.3">
      <c r="A31" s="426" t="s">
        <v>526</v>
      </c>
      <c r="B31" s="523">
        <f>SUM(B32:B37)</f>
        <v>0</v>
      </c>
      <c r="C31" s="442">
        <f t="shared" ref="C31:L31" si="13">SUM(C32:C37)</f>
        <v>122916.66666666667</v>
      </c>
      <c r="D31" s="442">
        <f t="shared" si="13"/>
        <v>122916.66666666667</v>
      </c>
      <c r="E31" s="442">
        <f t="shared" si="13"/>
        <v>122916.66666666667</v>
      </c>
      <c r="F31" s="442">
        <f t="shared" si="13"/>
        <v>122916.66666666667</v>
      </c>
      <c r="G31" s="442">
        <f t="shared" si="13"/>
        <v>122916.66666666667</v>
      </c>
      <c r="H31" s="442">
        <f t="shared" si="13"/>
        <v>122916.66666666667</v>
      </c>
      <c r="I31" s="442">
        <f t="shared" si="13"/>
        <v>122916.66666666667</v>
      </c>
      <c r="J31" s="442">
        <f t="shared" si="13"/>
        <v>122916.66666666667</v>
      </c>
      <c r="K31" s="442">
        <f t="shared" si="13"/>
        <v>122916.66666666667</v>
      </c>
      <c r="L31" s="462">
        <f t="shared" si="13"/>
        <v>122916.66666666667</v>
      </c>
    </row>
    <row r="32" spans="1:14" x14ac:dyDescent="0.25">
      <c r="A32" s="464" t="s">
        <v>527</v>
      </c>
      <c r="B32" s="472"/>
      <c r="C32" s="527"/>
      <c r="D32" s="527"/>
      <c r="E32" s="527"/>
      <c r="F32" s="527"/>
      <c r="G32" s="527"/>
      <c r="H32" s="527"/>
      <c r="I32" s="527"/>
      <c r="J32" s="527"/>
      <c r="K32" s="527"/>
      <c r="L32" s="528"/>
    </row>
    <row r="33" spans="1:12" x14ac:dyDescent="0.25">
      <c r="A33" s="428" t="s">
        <v>528</v>
      </c>
      <c r="B33" s="473"/>
      <c r="C33" s="438">
        <f>+'CASH FLOW (US$)'!E89/12</f>
        <v>122916.66666666667</v>
      </c>
      <c r="D33" s="438">
        <f>+'CASH FLOW (US$)'!F89/12</f>
        <v>122916.66666666667</v>
      </c>
      <c r="E33" s="438">
        <f>+'CASH FLOW (US$)'!G89/12</f>
        <v>122916.66666666667</v>
      </c>
      <c r="F33" s="438">
        <f>+'CASH FLOW (US$)'!H89/12</f>
        <v>122916.66666666667</v>
      </c>
      <c r="G33" s="438">
        <f>+'CASH FLOW (US$)'!I89/12</f>
        <v>122916.66666666667</v>
      </c>
      <c r="H33" s="438">
        <f>+'CASH FLOW (US$)'!J89/12</f>
        <v>122916.66666666667</v>
      </c>
      <c r="I33" s="438">
        <f>+'CASH FLOW (US$)'!K89/12</f>
        <v>122916.66666666667</v>
      </c>
      <c r="J33" s="438">
        <f>+'CASH FLOW (US$)'!L89/12</f>
        <v>122916.66666666667</v>
      </c>
      <c r="K33" s="438">
        <f>+'CASH FLOW (US$)'!M89/12</f>
        <v>122916.66666666667</v>
      </c>
      <c r="L33" s="439">
        <f>+'CASH FLOW (US$)'!N89/12</f>
        <v>122916.66666666667</v>
      </c>
    </row>
    <row r="34" spans="1:12" x14ac:dyDescent="0.25">
      <c r="A34" s="428" t="s">
        <v>529</v>
      </c>
      <c r="B34" s="473"/>
      <c r="C34" s="438"/>
      <c r="D34" s="438"/>
      <c r="E34" s="438"/>
      <c r="F34" s="438"/>
      <c r="G34" s="438"/>
      <c r="H34" s="438"/>
      <c r="I34" s="438"/>
      <c r="J34" s="438"/>
      <c r="K34" s="438"/>
      <c r="L34" s="439"/>
    </row>
    <row r="35" spans="1:12" x14ac:dyDescent="0.25">
      <c r="A35" s="428" t="s">
        <v>530</v>
      </c>
      <c r="B35" s="473"/>
      <c r="C35" s="438"/>
      <c r="D35" s="438"/>
      <c r="E35" s="438"/>
      <c r="F35" s="438"/>
      <c r="G35" s="438"/>
      <c r="H35" s="438"/>
      <c r="I35" s="438"/>
      <c r="J35" s="438"/>
      <c r="K35" s="438"/>
      <c r="L35" s="439"/>
    </row>
    <row r="36" spans="1:12" x14ac:dyDescent="0.25">
      <c r="A36" s="428" t="s">
        <v>531</v>
      </c>
      <c r="B36" s="473"/>
      <c r="C36" s="438"/>
      <c r="D36" s="438"/>
      <c r="E36" s="438"/>
      <c r="F36" s="438"/>
      <c r="G36" s="438"/>
      <c r="H36" s="438"/>
      <c r="I36" s="438"/>
      <c r="J36" s="438"/>
      <c r="K36" s="438"/>
      <c r="L36" s="439"/>
    </row>
    <row r="37" spans="1:12" ht="15.75" thickBot="1" x14ac:dyDescent="0.3">
      <c r="A37" s="463" t="s">
        <v>532</v>
      </c>
      <c r="B37" s="475"/>
      <c r="C37" s="440"/>
      <c r="D37" s="440"/>
      <c r="E37" s="440"/>
      <c r="F37" s="440"/>
      <c r="G37" s="440"/>
      <c r="H37" s="440"/>
      <c r="I37" s="440"/>
      <c r="J37" s="440"/>
      <c r="K37" s="440"/>
      <c r="L37" s="441"/>
    </row>
    <row r="38" spans="1:12" ht="15.75" thickBot="1" x14ac:dyDescent="0.3">
      <c r="A38" s="426" t="s">
        <v>533</v>
      </c>
      <c r="B38" s="523">
        <f t="shared" ref="B38:L38" si="14">SUM(B39:B40)</f>
        <v>0</v>
      </c>
      <c r="C38" s="442">
        <f t="shared" si="14"/>
        <v>150000</v>
      </c>
      <c r="D38" s="442">
        <f t="shared" si="14"/>
        <v>120000</v>
      </c>
      <c r="E38" s="442">
        <f t="shared" si="14"/>
        <v>90000</v>
      </c>
      <c r="F38" s="442">
        <f t="shared" si="14"/>
        <v>60000</v>
      </c>
      <c r="G38" s="442">
        <f t="shared" si="14"/>
        <v>30000</v>
      </c>
      <c r="H38" s="442">
        <f t="shared" si="14"/>
        <v>0</v>
      </c>
      <c r="I38" s="442">
        <f t="shared" si="14"/>
        <v>0</v>
      </c>
      <c r="J38" s="442">
        <f t="shared" si="14"/>
        <v>0</v>
      </c>
      <c r="K38" s="442">
        <f t="shared" si="14"/>
        <v>0</v>
      </c>
      <c r="L38" s="462">
        <f t="shared" si="14"/>
        <v>0</v>
      </c>
    </row>
    <row r="39" spans="1:12" x14ac:dyDescent="0.25">
      <c r="A39" s="427" t="s">
        <v>534</v>
      </c>
      <c r="B39" s="472"/>
      <c r="C39" s="468">
        <f>+Prestamo!F10</f>
        <v>150000</v>
      </c>
      <c r="D39" s="468">
        <f>+Prestamo!G10</f>
        <v>120000</v>
      </c>
      <c r="E39" s="468">
        <f>+Prestamo!H10</f>
        <v>90000</v>
      </c>
      <c r="F39" s="468">
        <f>+Prestamo!I10</f>
        <v>60000</v>
      </c>
      <c r="G39" s="468">
        <f>+Prestamo!J10</f>
        <v>30000</v>
      </c>
      <c r="H39" s="468">
        <f>+Prestamo!K10</f>
        <v>0</v>
      </c>
      <c r="I39" s="468">
        <f>+Prestamo!L10</f>
        <v>0</v>
      </c>
      <c r="J39" s="468">
        <f>+Prestamo!M10</f>
        <v>0</v>
      </c>
      <c r="K39" s="468">
        <f>+Prestamo!N10</f>
        <v>0</v>
      </c>
      <c r="L39" s="469">
        <f>+Prestamo!O10</f>
        <v>0</v>
      </c>
    </row>
    <row r="40" spans="1:12" x14ac:dyDescent="0.25">
      <c r="A40" s="429" t="s">
        <v>530</v>
      </c>
      <c r="B40" s="473"/>
      <c r="C40" s="438"/>
      <c r="D40" s="438"/>
      <c r="E40" s="438"/>
      <c r="F40" s="438"/>
      <c r="G40" s="438"/>
      <c r="H40" s="438"/>
      <c r="I40" s="438"/>
      <c r="J40" s="438"/>
      <c r="K40" s="438"/>
      <c r="L40" s="439"/>
    </row>
    <row r="41" spans="1:12" ht="15.75" thickBot="1" x14ac:dyDescent="0.3">
      <c r="A41" s="471" t="s">
        <v>532</v>
      </c>
      <c r="B41" s="475"/>
      <c r="C41" s="440"/>
      <c r="D41" s="440"/>
      <c r="E41" s="440"/>
      <c r="F41" s="440"/>
      <c r="G41" s="440"/>
      <c r="H41" s="440"/>
      <c r="I41" s="440"/>
      <c r="J41" s="440"/>
      <c r="K41" s="440"/>
      <c r="L41" s="441"/>
    </row>
    <row r="42" spans="1:12" ht="15.75" thickBot="1" x14ac:dyDescent="0.3">
      <c r="A42" s="426" t="s">
        <v>535</v>
      </c>
      <c r="B42" s="523">
        <f t="shared" ref="B42:L42" si="15">+B31+B38</f>
        <v>0</v>
      </c>
      <c r="C42" s="442">
        <f>+C31+C38</f>
        <v>272916.66666666669</v>
      </c>
      <c r="D42" s="442">
        <f t="shared" si="15"/>
        <v>242916.66666666669</v>
      </c>
      <c r="E42" s="442">
        <f t="shared" si="15"/>
        <v>212916.66666666669</v>
      </c>
      <c r="F42" s="442">
        <f t="shared" si="15"/>
        <v>182916.66666666669</v>
      </c>
      <c r="G42" s="442">
        <f t="shared" si="15"/>
        <v>152916.66666666669</v>
      </c>
      <c r="H42" s="442">
        <f t="shared" si="15"/>
        <v>122916.66666666667</v>
      </c>
      <c r="I42" s="442">
        <f t="shared" si="15"/>
        <v>122916.66666666667</v>
      </c>
      <c r="J42" s="442">
        <f t="shared" si="15"/>
        <v>122916.66666666667</v>
      </c>
      <c r="K42" s="442">
        <f t="shared" si="15"/>
        <v>122916.66666666667</v>
      </c>
      <c r="L42" s="462">
        <f t="shared" si="15"/>
        <v>122916.66666666667</v>
      </c>
    </row>
    <row r="43" spans="1:12" ht="15.75" thickBot="1" x14ac:dyDescent="0.3">
      <c r="A43" s="426" t="s">
        <v>536</v>
      </c>
      <c r="B43" s="523">
        <f>SUM(B44:B48)</f>
        <v>1243693.5481075365</v>
      </c>
      <c r="C43" s="531">
        <f>SUM(C44:C48)</f>
        <v>1279477.3479342032</v>
      </c>
      <c r="D43" s="531">
        <f t="shared" ref="D43:L43" si="16">SUM(D44:D48)</f>
        <v>1449871.0472108698</v>
      </c>
      <c r="E43" s="531">
        <f t="shared" si="16"/>
        <v>1729051.984137537</v>
      </c>
      <c r="F43" s="531">
        <f>SUM(F44:F48)</f>
        <v>2394936.8407442039</v>
      </c>
      <c r="G43" s="531">
        <f>SUM(G44:G48)</f>
        <v>2061406.6973508704</v>
      </c>
      <c r="H43" s="531">
        <f t="shared" si="16"/>
        <v>2228461.5539575373</v>
      </c>
      <c r="I43" s="531">
        <f t="shared" si="16"/>
        <v>2395516.4105642042</v>
      </c>
      <c r="J43" s="531">
        <f t="shared" si="16"/>
        <v>2562571.2671708711</v>
      </c>
      <c r="K43" s="531">
        <f t="shared" si="16"/>
        <v>2729626.1237775381</v>
      </c>
      <c r="L43" s="532">
        <f t="shared" si="16"/>
        <v>2896680.980384205</v>
      </c>
    </row>
    <row r="44" spans="1:12" x14ac:dyDescent="0.25">
      <c r="A44" s="464" t="s">
        <v>584</v>
      </c>
      <c r="B44" s="472">
        <f>-'CASH FLOW (US$)'!D210</f>
        <v>1243693.5481075365</v>
      </c>
      <c r="C44" s="467">
        <f>+B44</f>
        <v>1243693.5481075365</v>
      </c>
      <c r="D44" s="467">
        <f t="shared" ref="D44:L44" si="17">+C44</f>
        <v>1243693.5481075365</v>
      </c>
      <c r="E44" s="467">
        <f t="shared" si="17"/>
        <v>1243693.5481075365</v>
      </c>
      <c r="F44" s="467">
        <f t="shared" si="17"/>
        <v>1243693.5481075365</v>
      </c>
      <c r="G44" s="467">
        <f t="shared" si="17"/>
        <v>1243693.5481075365</v>
      </c>
      <c r="H44" s="467">
        <f t="shared" si="17"/>
        <v>1243693.5481075365</v>
      </c>
      <c r="I44" s="467">
        <f t="shared" si="17"/>
        <v>1243693.5481075365</v>
      </c>
      <c r="J44" s="467">
        <f t="shared" si="17"/>
        <v>1243693.5481075365</v>
      </c>
      <c r="K44" s="467">
        <f t="shared" si="17"/>
        <v>1243693.5481075365</v>
      </c>
      <c r="L44" s="469">
        <f t="shared" si="17"/>
        <v>1243693.5481075365</v>
      </c>
    </row>
    <row r="45" spans="1:12" x14ac:dyDescent="0.25">
      <c r="A45" s="427" t="s">
        <v>563</v>
      </c>
      <c r="B45" s="526"/>
      <c r="C45" s="436"/>
      <c r="D45" s="436"/>
      <c r="E45" s="436"/>
      <c r="F45" s="436"/>
      <c r="G45" s="436"/>
      <c r="H45" s="436"/>
      <c r="I45" s="436"/>
      <c r="J45" s="436"/>
      <c r="K45" s="436"/>
      <c r="L45" s="546"/>
    </row>
    <row r="46" spans="1:12" x14ac:dyDescent="0.25">
      <c r="A46" s="428" t="s">
        <v>561</v>
      </c>
      <c r="B46" s="473"/>
      <c r="C46" s="438"/>
      <c r="D46" s="438"/>
      <c r="E46" s="438"/>
      <c r="F46" s="438"/>
      <c r="G46" s="438">
        <v>-500000</v>
      </c>
      <c r="H46" s="438">
        <v>-500000</v>
      </c>
      <c r="I46" s="438">
        <v>-500000</v>
      </c>
      <c r="J46" s="438">
        <v>-500000</v>
      </c>
      <c r="K46" s="438">
        <v>-500000</v>
      </c>
      <c r="L46" s="439">
        <v>-500000</v>
      </c>
    </row>
    <row r="47" spans="1:12" x14ac:dyDescent="0.25">
      <c r="A47" s="428" t="s">
        <v>585</v>
      </c>
      <c r="B47" s="529"/>
      <c r="C47" s="530">
        <f>+B47+B48</f>
        <v>0</v>
      </c>
      <c r="D47" s="530">
        <f t="shared" ref="D47:F47" si="18">+C47+C48</f>
        <v>35783.7998266668</v>
      </c>
      <c r="E47" s="530">
        <f t="shared" si="18"/>
        <v>206177.49910333348</v>
      </c>
      <c r="F47" s="530">
        <f t="shared" si="18"/>
        <v>485358.43603000033</v>
      </c>
      <c r="G47" s="530">
        <f>+F47+F48+G46</f>
        <v>651243.29263666715</v>
      </c>
      <c r="H47" s="530">
        <f>+G47+G48+H46</f>
        <v>817713.14924333384</v>
      </c>
      <c r="I47" s="530">
        <f t="shared" ref="I47:L47" si="19">+H47+H48+I46</f>
        <v>984768.00585000077</v>
      </c>
      <c r="J47" s="530">
        <f t="shared" si="19"/>
        <v>1151822.8624566677</v>
      </c>
      <c r="K47" s="530">
        <f t="shared" si="19"/>
        <v>1318877.7190633346</v>
      </c>
      <c r="L47" s="547">
        <f t="shared" si="19"/>
        <v>1485932.5756700016</v>
      </c>
    </row>
    <row r="48" spans="1:12" ht="15.75" thickBot="1" x14ac:dyDescent="0.3">
      <c r="A48" s="463" t="s">
        <v>537</v>
      </c>
      <c r="B48" s="475"/>
      <c r="C48" s="440">
        <f>+'CASH FLOW (US$)'!E192</f>
        <v>35783.7998266668</v>
      </c>
      <c r="D48" s="440">
        <f>+'CASH FLOW (US$)'!F192</f>
        <v>170393.69927666668</v>
      </c>
      <c r="E48" s="440">
        <f>+'CASH FLOW (US$)'!G192</f>
        <v>279180.93692666688</v>
      </c>
      <c r="F48" s="440">
        <f>+'CASH FLOW (US$)'!H192</f>
        <v>665884.85660666681</v>
      </c>
      <c r="G48" s="440">
        <f>+'CASH FLOW (US$)'!I192</f>
        <v>666469.85660666681</v>
      </c>
      <c r="H48" s="440">
        <f>+'CASH FLOW (US$)'!J192</f>
        <v>667054.85660666681</v>
      </c>
      <c r="I48" s="440">
        <f>+'CASH FLOW (US$)'!K192</f>
        <v>667054.85660666681</v>
      </c>
      <c r="J48" s="440">
        <f>+'CASH FLOW (US$)'!L192</f>
        <v>667054.85660666681</v>
      </c>
      <c r="K48" s="440">
        <f>+'CASH FLOW (US$)'!M192</f>
        <v>667054.85660666681</v>
      </c>
      <c r="L48" s="441">
        <f>+'CASH FLOW (US$)'!N192</f>
        <v>667054.85660666681</v>
      </c>
    </row>
    <row r="49" spans="1:12" ht="15.75" thickBot="1" x14ac:dyDescent="0.3">
      <c r="A49" s="426" t="s">
        <v>538</v>
      </c>
      <c r="B49" s="523">
        <f>+B42+B43</f>
        <v>1243693.5481075365</v>
      </c>
      <c r="C49" s="442">
        <f>+C42+C43</f>
        <v>1552394.01460087</v>
      </c>
      <c r="D49" s="442">
        <f t="shared" ref="D49:L49" si="20">+D42+D43</f>
        <v>1692787.7138775366</v>
      </c>
      <c r="E49" s="442">
        <f t="shared" si="20"/>
        <v>1941968.6508042037</v>
      </c>
      <c r="F49" s="442">
        <f>+F42+F43</f>
        <v>2577853.5074108704</v>
      </c>
      <c r="G49" s="442">
        <f t="shared" si="20"/>
        <v>2214323.3640175369</v>
      </c>
      <c r="H49" s="442">
        <f t="shared" si="20"/>
        <v>2351378.2206242038</v>
      </c>
      <c r="I49" s="442">
        <f t="shared" si="20"/>
        <v>2518433.0772308707</v>
      </c>
      <c r="J49" s="442">
        <f t="shared" si="20"/>
        <v>2685487.9338375377</v>
      </c>
      <c r="K49" s="442">
        <f t="shared" si="20"/>
        <v>2852542.7904442046</v>
      </c>
      <c r="L49" s="462">
        <f t="shared" si="20"/>
        <v>3019597.6470508715</v>
      </c>
    </row>
    <row r="50" spans="1:12" ht="15.75" thickBot="1" x14ac:dyDescent="0.3">
      <c r="A50" s="426" t="s">
        <v>539</v>
      </c>
      <c r="B50" s="523">
        <f t="shared" ref="B50:K50" si="21">+B30-B49</f>
        <v>0</v>
      </c>
      <c r="C50" s="442">
        <f t="shared" si="21"/>
        <v>0</v>
      </c>
      <c r="D50" s="442">
        <f t="shared" si="21"/>
        <v>0</v>
      </c>
      <c r="E50" s="442">
        <f t="shared" si="21"/>
        <v>0</v>
      </c>
      <c r="F50" s="442">
        <f t="shared" si="21"/>
        <v>0</v>
      </c>
      <c r="G50" s="442">
        <f t="shared" si="21"/>
        <v>0</v>
      </c>
      <c r="H50" s="442">
        <f t="shared" si="21"/>
        <v>-3.7252902984619141E-9</v>
      </c>
      <c r="I50" s="442">
        <f t="shared" si="21"/>
        <v>0</v>
      </c>
      <c r="J50" s="442">
        <f t="shared" si="21"/>
        <v>0</v>
      </c>
      <c r="K50" s="442">
        <f t="shared" si="21"/>
        <v>-4.6566128730773926E-9</v>
      </c>
      <c r="L50" s="462">
        <f>+L30-L49</f>
        <v>0</v>
      </c>
    </row>
    <row r="52" spans="1:12" x14ac:dyDescent="0.25">
      <c r="C52" s="514"/>
      <c r="D52" s="514"/>
      <c r="E52" s="514"/>
      <c r="F52" s="514"/>
      <c r="G52" s="514"/>
      <c r="H52" s="514"/>
      <c r="I52" s="514"/>
      <c r="J52" s="514"/>
      <c r="K52" s="514"/>
      <c r="L52" s="514"/>
    </row>
    <row r="53" spans="1:12" x14ac:dyDescent="0.25">
      <c r="C53" s="514"/>
    </row>
    <row r="54" spans="1:12" x14ac:dyDescent="0.25">
      <c r="C54" s="514"/>
    </row>
    <row r="55" spans="1:12" x14ac:dyDescent="0.25">
      <c r="C55" s="514"/>
    </row>
  </sheetData>
  <pageMargins left="0.7" right="0.7" top="0.75" bottom="0.75" header="0.3" footer="0.3"/>
  <pageSetup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31" sqref="J31"/>
    </sheetView>
  </sheetViews>
  <sheetFormatPr baseColWidth="10" defaultRowHeight="15" x14ac:dyDescent="0.25"/>
  <cols>
    <col min="1" max="1" width="54.140625" customWidth="1"/>
  </cols>
  <sheetData>
    <row r="1" spans="1:12" ht="15.75" thickBot="1" x14ac:dyDescent="0.3">
      <c r="A1" s="533" t="s">
        <v>619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</row>
    <row r="2" spans="1:12" x14ac:dyDescent="0.25">
      <c r="A2" s="537"/>
      <c r="B2" s="538" t="s">
        <v>278</v>
      </c>
      <c r="C2" s="538" t="s">
        <v>364</v>
      </c>
      <c r="D2" s="538" t="s">
        <v>183</v>
      </c>
      <c r="E2" s="538" t="s">
        <v>184</v>
      </c>
      <c r="F2" s="538" t="s">
        <v>185</v>
      </c>
      <c r="G2" s="538" t="s">
        <v>186</v>
      </c>
      <c r="H2" s="538" t="s">
        <v>187</v>
      </c>
      <c r="I2" s="538" t="s">
        <v>188</v>
      </c>
      <c r="J2" s="538" t="s">
        <v>189</v>
      </c>
      <c r="K2" s="538" t="s">
        <v>190</v>
      </c>
      <c r="L2" s="539" t="s">
        <v>191</v>
      </c>
    </row>
    <row r="3" spans="1:12" x14ac:dyDescent="0.25">
      <c r="A3" s="540" t="s">
        <v>583</v>
      </c>
      <c r="B3" s="438">
        <f>+BALANCE!B48</f>
        <v>0</v>
      </c>
      <c r="C3" s="438">
        <f>+BALANCE!C48</f>
        <v>35783.7998266668</v>
      </c>
      <c r="D3" s="438">
        <f>+BALANCE!D48</f>
        <v>170393.69927666668</v>
      </c>
      <c r="E3" s="438">
        <f>+BALANCE!E48</f>
        <v>279180.93692666688</v>
      </c>
      <c r="F3" s="438">
        <f>+BALANCE!F48</f>
        <v>665884.85660666681</v>
      </c>
      <c r="G3" s="438">
        <f>+BALANCE!G48</f>
        <v>666469.85660666681</v>
      </c>
      <c r="H3" s="438">
        <f>+BALANCE!H48</f>
        <v>667054.85660666681</v>
      </c>
      <c r="I3" s="438">
        <f>+BALANCE!I48</f>
        <v>667054.85660666681</v>
      </c>
      <c r="J3" s="438">
        <f>+BALANCE!J48</f>
        <v>667054.85660666681</v>
      </c>
      <c r="K3" s="438">
        <f>+BALANCE!K48</f>
        <v>667054.85660666681</v>
      </c>
      <c r="L3" s="439">
        <f>+BALANCE!L48</f>
        <v>667054.85660666681</v>
      </c>
    </row>
    <row r="4" spans="1:12" x14ac:dyDescent="0.25">
      <c r="A4" s="540" t="s">
        <v>567</v>
      </c>
      <c r="B4" s="438">
        <f>-'CASH FLOW (US$)'!D178</f>
        <v>0</v>
      </c>
      <c r="C4" s="438">
        <f>-'CASH FLOW (US$)'!E178</f>
        <v>111915.80226666667</v>
      </c>
      <c r="D4" s="438">
        <f>-'CASH FLOW (US$)'!F178</f>
        <v>111915.80226666667</v>
      </c>
      <c r="E4" s="438">
        <f>-'CASH FLOW (US$)'!G178</f>
        <v>111915.80226666667</v>
      </c>
      <c r="F4" s="438">
        <f>-'CASH FLOW (US$)'!H178</f>
        <v>111915.80226666667</v>
      </c>
      <c r="G4" s="438">
        <f>-'CASH FLOW (US$)'!I178</f>
        <v>111915.80226666667</v>
      </c>
      <c r="H4" s="438">
        <f>-'CASH FLOW (US$)'!J178</f>
        <v>111915.80226666667</v>
      </c>
      <c r="I4" s="438">
        <f>-'CASH FLOW (US$)'!K178</f>
        <v>111915.80226666667</v>
      </c>
      <c r="J4" s="438">
        <f>-'CASH FLOW (US$)'!L178</f>
        <v>111915.80226666667</v>
      </c>
      <c r="K4" s="438">
        <f>-'CASH FLOW (US$)'!M178</f>
        <v>111915.80226666667</v>
      </c>
      <c r="L4" s="439">
        <f>-'CASH FLOW (US$)'!N178</f>
        <v>111915.80226666667</v>
      </c>
    </row>
    <row r="5" spans="1:12" x14ac:dyDescent="0.25">
      <c r="A5" s="541" t="s">
        <v>568</v>
      </c>
      <c r="B5" s="542">
        <f t="shared" ref="B5:L5" si="0">SUM(B3:B4)</f>
        <v>0</v>
      </c>
      <c r="C5" s="542">
        <f>SUM(C3:C4)</f>
        <v>147699.60209333347</v>
      </c>
      <c r="D5" s="542">
        <f t="shared" si="0"/>
        <v>282309.50154333335</v>
      </c>
      <c r="E5" s="542">
        <f t="shared" si="0"/>
        <v>391096.73919333355</v>
      </c>
      <c r="F5" s="542">
        <f t="shared" si="0"/>
        <v>777800.65887333348</v>
      </c>
      <c r="G5" s="542">
        <f t="shared" si="0"/>
        <v>778385.65887333348</v>
      </c>
      <c r="H5" s="542">
        <f t="shared" si="0"/>
        <v>778970.65887333348</v>
      </c>
      <c r="I5" s="542">
        <f t="shared" si="0"/>
        <v>778970.65887333348</v>
      </c>
      <c r="J5" s="542">
        <f t="shared" si="0"/>
        <v>778970.65887333348</v>
      </c>
      <c r="K5" s="542">
        <f t="shared" si="0"/>
        <v>778970.65887333348</v>
      </c>
      <c r="L5" s="543">
        <f t="shared" si="0"/>
        <v>778970.65887333348</v>
      </c>
    </row>
    <row r="6" spans="1:12" x14ac:dyDescent="0.25">
      <c r="A6" s="540" t="s">
        <v>569</v>
      </c>
      <c r="B6" s="438"/>
      <c r="C6" s="438">
        <f>+BALANCE!C20-BALANCE!B20</f>
        <v>201656.91666666666</v>
      </c>
      <c r="D6" s="438">
        <f>+BALANCE!D20-BALANCE!C20</f>
        <v>19825.754166666651</v>
      </c>
      <c r="E6" s="438">
        <f>+BALANCE!E20-BALANCE!D20</f>
        <v>19448.045833333366</v>
      </c>
      <c r="F6" s="438">
        <f>+BALANCE!F20-BALANCE!E20</f>
        <v>51162.63333333336</v>
      </c>
      <c r="G6" s="438">
        <f>+BALANCE!G20-BALANCE!F20</f>
        <v>0</v>
      </c>
      <c r="H6" s="438">
        <f>+BALANCE!H20-BALANCE!G20</f>
        <v>0</v>
      </c>
      <c r="I6" s="438">
        <f>+BALANCE!I20-BALANCE!H20</f>
        <v>0</v>
      </c>
      <c r="J6" s="438">
        <f>+BALANCE!J20-BALANCE!I20</f>
        <v>0</v>
      </c>
      <c r="K6" s="438">
        <f>+BALANCE!K20-BALANCE!J20</f>
        <v>0</v>
      </c>
      <c r="L6" s="439">
        <f>+BALANCE!L20-BALANCE!K20</f>
        <v>0</v>
      </c>
    </row>
    <row r="7" spans="1:12" x14ac:dyDescent="0.25">
      <c r="A7" s="540" t="s">
        <v>570</v>
      </c>
      <c r="B7" s="438"/>
      <c r="C7" s="438">
        <f>+BALANCE!C22-BALANCE!B22</f>
        <v>133576.36226666666</v>
      </c>
      <c r="D7" s="438">
        <f>+BALANCE!D22-BALANCE!C22</f>
        <v>0</v>
      </c>
      <c r="E7" s="438">
        <f>+BALANCE!E22-BALANCE!D22</f>
        <v>606.66666666665697</v>
      </c>
      <c r="F7" s="438">
        <f>+BALANCE!F22-BALANCE!E22</f>
        <v>0</v>
      </c>
      <c r="G7" s="438">
        <f>+BALANCE!G22-BALANCE!F22</f>
        <v>0</v>
      </c>
      <c r="H7" s="438">
        <f>+BALANCE!H22-BALANCE!G22</f>
        <v>0</v>
      </c>
      <c r="I7" s="438">
        <f>+BALANCE!I22-BALANCE!H22</f>
        <v>0</v>
      </c>
      <c r="J7" s="438">
        <f>+BALANCE!J22-BALANCE!I22</f>
        <v>0</v>
      </c>
      <c r="K7" s="438">
        <f>+BALANCE!K22-BALANCE!J22</f>
        <v>0</v>
      </c>
      <c r="L7" s="439">
        <f>+BALANCE!L22-BALANCE!K22</f>
        <v>0</v>
      </c>
    </row>
    <row r="8" spans="1:12" x14ac:dyDescent="0.25">
      <c r="A8" s="541" t="s">
        <v>622</v>
      </c>
      <c r="B8" s="542">
        <f t="shared" ref="B8:L8" si="1">SUM(B6:B7)</f>
        <v>0</v>
      </c>
      <c r="C8" s="542">
        <f>SUM(C6:C7)</f>
        <v>335233.27893333335</v>
      </c>
      <c r="D8" s="542">
        <f t="shared" si="1"/>
        <v>19825.754166666651</v>
      </c>
      <c r="E8" s="542">
        <f t="shared" si="1"/>
        <v>20054.712500000023</v>
      </c>
      <c r="F8" s="542">
        <f t="shared" si="1"/>
        <v>51162.63333333336</v>
      </c>
      <c r="G8" s="542">
        <f t="shared" si="1"/>
        <v>0</v>
      </c>
      <c r="H8" s="542">
        <f t="shared" si="1"/>
        <v>0</v>
      </c>
      <c r="I8" s="542">
        <f t="shared" si="1"/>
        <v>0</v>
      </c>
      <c r="J8" s="542">
        <f t="shared" si="1"/>
        <v>0</v>
      </c>
      <c r="K8" s="542">
        <f t="shared" si="1"/>
        <v>0</v>
      </c>
      <c r="L8" s="543">
        <f t="shared" si="1"/>
        <v>0</v>
      </c>
    </row>
    <row r="9" spans="1:12" x14ac:dyDescent="0.25">
      <c r="A9" s="540" t="s">
        <v>571</v>
      </c>
      <c r="B9" s="438"/>
      <c r="C9" s="438">
        <f>+BALANCE!C33-BALANCE!B33</f>
        <v>122916.66666666667</v>
      </c>
      <c r="D9" s="438">
        <f>+BALANCE!D33-BALANCE!C33</f>
        <v>0</v>
      </c>
      <c r="E9" s="438">
        <f>+BALANCE!E33-BALANCE!D33</f>
        <v>0</v>
      </c>
      <c r="F9" s="438">
        <f>+BALANCE!F33-BALANCE!E33</f>
        <v>0</v>
      </c>
      <c r="G9" s="438">
        <f>+BALANCE!G33-BALANCE!F33</f>
        <v>0</v>
      </c>
      <c r="H9" s="438">
        <f>+BALANCE!H33-BALANCE!G33</f>
        <v>0</v>
      </c>
      <c r="I9" s="438">
        <f>+BALANCE!I33-BALANCE!H33</f>
        <v>0</v>
      </c>
      <c r="J9" s="438">
        <f>+BALANCE!J33-BALANCE!I33</f>
        <v>0</v>
      </c>
      <c r="K9" s="438">
        <f>+BALANCE!K33-BALANCE!J33</f>
        <v>0</v>
      </c>
      <c r="L9" s="439">
        <f>+BALANCE!L33-BALANCE!K33</f>
        <v>0</v>
      </c>
    </row>
    <row r="10" spans="1:12" ht="15.75" thickBot="1" x14ac:dyDescent="0.3">
      <c r="A10" s="573" t="s">
        <v>572</v>
      </c>
      <c r="B10" s="530"/>
      <c r="C10" s="530"/>
      <c r="D10" s="530"/>
      <c r="E10" s="530"/>
      <c r="F10" s="530"/>
      <c r="G10" s="530"/>
      <c r="H10" s="530"/>
      <c r="I10" s="530"/>
      <c r="J10" s="530"/>
      <c r="K10" s="530"/>
      <c r="L10" s="574"/>
    </row>
    <row r="11" spans="1:12" ht="15.75" thickBot="1" x14ac:dyDescent="0.3">
      <c r="A11" s="423" t="s">
        <v>573</v>
      </c>
      <c r="B11" s="551">
        <f t="shared" ref="B11:L11" si="2">SUM(B9:B10)</f>
        <v>0</v>
      </c>
      <c r="C11" s="551">
        <f>SUM(C9:C10)</f>
        <v>122916.66666666667</v>
      </c>
      <c r="D11" s="551">
        <f t="shared" si="2"/>
        <v>0</v>
      </c>
      <c r="E11" s="551">
        <f t="shared" si="2"/>
        <v>0</v>
      </c>
      <c r="F11" s="551">
        <f t="shared" si="2"/>
        <v>0</v>
      </c>
      <c r="G11" s="551">
        <f t="shared" si="2"/>
        <v>0</v>
      </c>
      <c r="H11" s="551">
        <f t="shared" si="2"/>
        <v>0</v>
      </c>
      <c r="I11" s="551">
        <f t="shared" si="2"/>
        <v>0</v>
      </c>
      <c r="J11" s="551">
        <f t="shared" si="2"/>
        <v>0</v>
      </c>
      <c r="K11" s="551">
        <f t="shared" si="2"/>
        <v>0</v>
      </c>
      <c r="L11" s="552">
        <f t="shared" si="2"/>
        <v>0</v>
      </c>
    </row>
    <row r="12" spans="1:12" ht="15.75" thickBot="1" x14ac:dyDescent="0.3">
      <c r="A12" s="423" t="s">
        <v>620</v>
      </c>
      <c r="B12" s="551">
        <f t="shared" ref="B12:L12" si="3">+B5-B8+B11</f>
        <v>0</v>
      </c>
      <c r="C12" s="551">
        <f>+C5-C8+C11</f>
        <v>-64617.010173333212</v>
      </c>
      <c r="D12" s="551">
        <f t="shared" si="3"/>
        <v>262483.7473766667</v>
      </c>
      <c r="E12" s="551">
        <f t="shared" si="3"/>
        <v>371042.02669333352</v>
      </c>
      <c r="F12" s="551">
        <f t="shared" si="3"/>
        <v>726638.02554000006</v>
      </c>
      <c r="G12" s="551">
        <f t="shared" si="3"/>
        <v>778385.65887333348</v>
      </c>
      <c r="H12" s="551">
        <f t="shared" si="3"/>
        <v>778970.65887333348</v>
      </c>
      <c r="I12" s="551">
        <f t="shared" si="3"/>
        <v>778970.65887333348</v>
      </c>
      <c r="J12" s="551">
        <f t="shared" si="3"/>
        <v>778970.65887333348</v>
      </c>
      <c r="K12" s="551">
        <f t="shared" si="3"/>
        <v>778970.65887333348</v>
      </c>
      <c r="L12" s="552">
        <f t="shared" si="3"/>
        <v>778970.65887333348</v>
      </c>
    </row>
    <row r="13" spans="1:12" x14ac:dyDescent="0.25">
      <c r="A13" s="578" t="s">
        <v>574</v>
      </c>
      <c r="B13" s="472">
        <f>+BALANCE!B28</f>
        <v>1243693.5481075365</v>
      </c>
      <c r="C13" s="468"/>
      <c r="D13" s="468"/>
      <c r="E13" s="468"/>
      <c r="F13" s="468"/>
      <c r="G13" s="468"/>
      <c r="H13" s="468"/>
      <c r="I13" s="468"/>
      <c r="J13" s="468"/>
      <c r="K13" s="468"/>
      <c r="L13" s="581"/>
    </row>
    <row r="14" spans="1:12" x14ac:dyDescent="0.25">
      <c r="A14" s="579" t="s">
        <v>575</v>
      </c>
      <c r="B14" s="473"/>
      <c r="C14" s="438"/>
      <c r="D14" s="438"/>
      <c r="E14" s="438"/>
      <c r="F14" s="438"/>
      <c r="G14" s="438">
        <v>500000</v>
      </c>
      <c r="H14" s="438">
        <v>500000</v>
      </c>
      <c r="I14" s="438">
        <v>500000</v>
      </c>
      <c r="J14" s="438">
        <v>500000</v>
      </c>
      <c r="K14" s="438">
        <v>500000</v>
      </c>
      <c r="L14" s="439">
        <v>500000</v>
      </c>
    </row>
    <row r="15" spans="1:12" x14ac:dyDescent="0.25">
      <c r="A15" s="579" t="s">
        <v>576</v>
      </c>
      <c r="B15" s="473"/>
      <c r="C15" s="438"/>
      <c r="D15" s="438"/>
      <c r="E15" s="438"/>
      <c r="F15" s="438"/>
      <c r="G15" s="438"/>
      <c r="H15" s="438"/>
      <c r="I15" s="438"/>
      <c r="J15" s="438"/>
      <c r="K15" s="438"/>
      <c r="L15" s="544"/>
    </row>
    <row r="16" spans="1:12" ht="15.75" thickBot="1" x14ac:dyDescent="0.3">
      <c r="A16" s="580" t="s">
        <v>577</v>
      </c>
      <c r="B16" s="529"/>
      <c r="C16" s="530">
        <f>+Prestamo!F9</f>
        <v>0</v>
      </c>
      <c r="D16" s="530">
        <f>+Prestamo!G9</f>
        <v>30000</v>
      </c>
      <c r="E16" s="530">
        <f>+Prestamo!H9</f>
        <v>30000</v>
      </c>
      <c r="F16" s="530">
        <f>+Prestamo!I9</f>
        <v>30000</v>
      </c>
      <c r="G16" s="530">
        <f>+Prestamo!J9</f>
        <v>30000</v>
      </c>
      <c r="H16" s="530">
        <f>+Prestamo!K9</f>
        <v>30000</v>
      </c>
      <c r="I16" s="530">
        <f>+Prestamo!L9</f>
        <v>0</v>
      </c>
      <c r="J16" s="530">
        <f>+Prestamo!M9</f>
        <v>0</v>
      </c>
      <c r="K16" s="530">
        <f>+Prestamo!N9</f>
        <v>0</v>
      </c>
      <c r="L16" s="547">
        <f>+Prestamo!O9</f>
        <v>0</v>
      </c>
    </row>
    <row r="17" spans="1:12" ht="15.75" thickBot="1" x14ac:dyDescent="0.3">
      <c r="A17" s="563" t="s">
        <v>623</v>
      </c>
      <c r="B17" s="582">
        <f>SUM(B13:B16)</f>
        <v>1243693.5481075365</v>
      </c>
      <c r="C17" s="551">
        <f>SUM(C13:C16)</f>
        <v>0</v>
      </c>
      <c r="D17" s="551">
        <f t="shared" ref="D17:L17" si="4">SUM(D13:D16)</f>
        <v>30000</v>
      </c>
      <c r="E17" s="551">
        <f t="shared" si="4"/>
        <v>30000</v>
      </c>
      <c r="F17" s="551">
        <f t="shared" si="4"/>
        <v>30000</v>
      </c>
      <c r="G17" s="551">
        <f t="shared" si="4"/>
        <v>530000</v>
      </c>
      <c r="H17" s="551">
        <f t="shared" si="4"/>
        <v>530000</v>
      </c>
      <c r="I17" s="551">
        <f t="shared" si="4"/>
        <v>500000</v>
      </c>
      <c r="J17" s="551">
        <f t="shared" si="4"/>
        <v>500000</v>
      </c>
      <c r="K17" s="551">
        <f t="shared" si="4"/>
        <v>500000</v>
      </c>
      <c r="L17" s="552">
        <f t="shared" si="4"/>
        <v>500000</v>
      </c>
    </row>
    <row r="18" spans="1:12" x14ac:dyDescent="0.25">
      <c r="A18" s="578" t="s">
        <v>578</v>
      </c>
      <c r="B18" s="526"/>
      <c r="C18" s="575"/>
      <c r="D18" s="575"/>
      <c r="E18" s="575"/>
      <c r="F18" s="575"/>
      <c r="G18" s="575"/>
      <c r="H18" s="575"/>
      <c r="I18" s="575"/>
      <c r="J18" s="575"/>
      <c r="K18" s="575"/>
      <c r="L18" s="576"/>
    </row>
    <row r="19" spans="1:12" x14ac:dyDescent="0.25">
      <c r="A19" s="579" t="s">
        <v>562</v>
      </c>
      <c r="B19" s="473">
        <f>+BALANCE!B44</f>
        <v>1243693.5481075365</v>
      </c>
      <c r="C19" s="438"/>
      <c r="D19" s="438"/>
      <c r="E19" s="438"/>
      <c r="F19" s="438"/>
      <c r="G19" s="438"/>
      <c r="H19" s="438"/>
      <c r="I19" s="438"/>
      <c r="J19" s="438"/>
      <c r="K19" s="438"/>
      <c r="L19" s="544"/>
    </row>
    <row r="20" spans="1:12" x14ac:dyDescent="0.25">
      <c r="A20" s="579" t="s">
        <v>579</v>
      </c>
      <c r="B20" s="473"/>
      <c r="C20" s="438">
        <f>+BALANCE!C46-BALANCE!B46</f>
        <v>0</v>
      </c>
      <c r="D20" s="438">
        <f>+BALANCE!D46-BALANCE!C46</f>
        <v>0</v>
      </c>
      <c r="E20" s="438">
        <f>+BALANCE!E46-BALANCE!D46</f>
        <v>0</v>
      </c>
      <c r="F20" s="438">
        <f>+BALANCE!F46-BALANCE!E46</f>
        <v>0</v>
      </c>
      <c r="G20" s="438">
        <f>+BALANCE!G46-BALANCE!F46</f>
        <v>-500000</v>
      </c>
      <c r="H20" s="438">
        <f>+BALANCE!H46-BALANCE!G46</f>
        <v>0</v>
      </c>
      <c r="I20" s="438">
        <f>+BALANCE!I46-BALANCE!H46</f>
        <v>0</v>
      </c>
      <c r="J20" s="438">
        <f>+BALANCE!J46-BALANCE!I46</f>
        <v>0</v>
      </c>
      <c r="K20" s="438">
        <f>+BALANCE!K46-BALANCE!J46</f>
        <v>0</v>
      </c>
      <c r="L20" s="439">
        <f>+BALANCE!L46-BALANCE!K46</f>
        <v>0</v>
      </c>
    </row>
    <row r="21" spans="1:12" x14ac:dyDescent="0.25">
      <c r="A21" s="579" t="s">
        <v>580</v>
      </c>
      <c r="B21" s="473"/>
      <c r="C21" s="438"/>
      <c r="D21" s="438"/>
      <c r="E21" s="438"/>
      <c r="F21" s="438"/>
      <c r="G21" s="438"/>
      <c r="H21" s="438"/>
      <c r="I21" s="438"/>
      <c r="J21" s="438"/>
      <c r="K21" s="438"/>
      <c r="L21" s="544"/>
    </row>
    <row r="22" spans="1:12" ht="15.75" thickBot="1" x14ac:dyDescent="0.3">
      <c r="A22" s="580" t="s">
        <v>581</v>
      </c>
      <c r="B22" s="475"/>
      <c r="C22" s="440">
        <f>+Prestamo!F10-Prestamo!E10</f>
        <v>150000</v>
      </c>
      <c r="D22" s="440"/>
      <c r="E22" s="440"/>
      <c r="F22" s="440"/>
      <c r="G22" s="440"/>
      <c r="H22" s="440"/>
      <c r="I22" s="440"/>
      <c r="J22" s="440"/>
      <c r="K22" s="440"/>
      <c r="L22" s="441"/>
    </row>
    <row r="23" spans="1:12" ht="15.75" thickBot="1" x14ac:dyDescent="0.3">
      <c r="A23" s="423" t="s">
        <v>621</v>
      </c>
      <c r="B23" s="551">
        <f>SUM(B18:B22)</f>
        <v>1243693.5481075365</v>
      </c>
      <c r="C23" s="551">
        <f>SUM(C18:C22)</f>
        <v>150000</v>
      </c>
      <c r="D23" s="551">
        <f t="shared" ref="D23:L23" si="5">SUM(D18:D22)</f>
        <v>0</v>
      </c>
      <c r="E23" s="551">
        <f t="shared" si="5"/>
        <v>0</v>
      </c>
      <c r="F23" s="551">
        <f t="shared" si="5"/>
        <v>0</v>
      </c>
      <c r="G23" s="551">
        <f t="shared" si="5"/>
        <v>-500000</v>
      </c>
      <c r="H23" s="551">
        <f t="shared" si="5"/>
        <v>0</v>
      </c>
      <c r="I23" s="551">
        <f t="shared" si="5"/>
        <v>0</v>
      </c>
      <c r="J23" s="551">
        <f t="shared" si="5"/>
        <v>0</v>
      </c>
      <c r="K23" s="551">
        <f t="shared" si="5"/>
        <v>0</v>
      </c>
      <c r="L23" s="552">
        <f t="shared" si="5"/>
        <v>0</v>
      </c>
    </row>
    <row r="24" spans="1:12" ht="15.75" thickBot="1" x14ac:dyDescent="0.3">
      <c r="A24" s="583" t="s">
        <v>626</v>
      </c>
      <c r="B24" s="584">
        <f>+B12+B23-B17</f>
        <v>0</v>
      </c>
      <c r="C24" s="584">
        <f>+C12+C23-C17</f>
        <v>85382.989826666788</v>
      </c>
      <c r="D24" s="584">
        <f t="shared" ref="D24:L24" si="6">+D12+D23-D17</f>
        <v>232483.7473766667</v>
      </c>
      <c r="E24" s="584">
        <f>+E12+E23-E17</f>
        <v>341042.02669333352</v>
      </c>
      <c r="F24" s="584">
        <f t="shared" si="6"/>
        <v>696638.02554000006</v>
      </c>
      <c r="G24" s="584">
        <f t="shared" si="6"/>
        <v>-251614.34112666652</v>
      </c>
      <c r="H24" s="584">
        <f t="shared" si="6"/>
        <v>248970.65887333348</v>
      </c>
      <c r="I24" s="584">
        <f t="shared" si="6"/>
        <v>278970.65887333348</v>
      </c>
      <c r="J24" s="584">
        <f t="shared" si="6"/>
        <v>278970.65887333348</v>
      </c>
      <c r="K24" s="584">
        <f t="shared" si="6"/>
        <v>278970.65887333348</v>
      </c>
      <c r="L24" s="585">
        <f t="shared" si="6"/>
        <v>278970.65887333348</v>
      </c>
    </row>
    <row r="25" spans="1:12" ht="15.75" hidden="1" thickBot="1" x14ac:dyDescent="0.3">
      <c r="A25" s="548" t="s">
        <v>582</v>
      </c>
      <c r="B25" s="549"/>
      <c r="C25" s="549"/>
      <c r="D25" s="549"/>
      <c r="E25" s="549"/>
      <c r="F25" s="549"/>
      <c r="G25" s="549"/>
      <c r="H25" s="549"/>
      <c r="I25" s="549"/>
      <c r="J25" s="549"/>
      <c r="K25" s="549"/>
      <c r="L25" s="550"/>
    </row>
    <row r="26" spans="1:12" ht="15.75" thickBot="1" x14ac:dyDescent="0.3"/>
    <row r="27" spans="1:12" ht="15.75" thickBot="1" x14ac:dyDescent="0.3">
      <c r="A27" s="583" t="s">
        <v>628</v>
      </c>
      <c r="B27" s="584"/>
      <c r="C27" s="584">
        <f>+B24</f>
        <v>0</v>
      </c>
      <c r="D27" s="584">
        <f>+C24</f>
        <v>85382.989826666788</v>
      </c>
      <c r="E27" s="584">
        <f>+D29</f>
        <v>317866.73720333347</v>
      </c>
      <c r="F27" s="584">
        <f t="shared" ref="F27:L27" si="7">+E29</f>
        <v>658908.76389666693</v>
      </c>
      <c r="G27" s="584">
        <f t="shared" si="7"/>
        <v>1355546.789436667</v>
      </c>
      <c r="H27" s="584">
        <f t="shared" si="7"/>
        <v>1103932.4483100004</v>
      </c>
      <c r="I27" s="584">
        <f t="shared" si="7"/>
        <v>1352903.107183334</v>
      </c>
      <c r="J27" s="584">
        <f t="shared" si="7"/>
        <v>1631873.7660566675</v>
      </c>
      <c r="K27" s="584">
        <f t="shared" si="7"/>
        <v>1910844.4249300011</v>
      </c>
      <c r="L27" s="585">
        <f t="shared" si="7"/>
        <v>2189815.0838033347</v>
      </c>
    </row>
    <row r="28" spans="1:12" ht="15.75" thickBot="1" x14ac:dyDescent="0.3">
      <c r="A28" s="583" t="s">
        <v>629</v>
      </c>
      <c r="B28" s="584"/>
      <c r="C28" s="584">
        <f>+C24</f>
        <v>85382.989826666788</v>
      </c>
      <c r="D28" s="584">
        <f>+D24</f>
        <v>232483.7473766667</v>
      </c>
      <c r="E28" s="584">
        <f t="shared" ref="E28:L28" si="8">+E24</f>
        <v>341042.02669333352</v>
      </c>
      <c r="F28" s="584">
        <f t="shared" si="8"/>
        <v>696638.02554000006</v>
      </c>
      <c r="G28" s="584">
        <f t="shared" si="8"/>
        <v>-251614.34112666652</v>
      </c>
      <c r="H28" s="584">
        <f t="shared" si="8"/>
        <v>248970.65887333348</v>
      </c>
      <c r="I28" s="584">
        <f t="shared" si="8"/>
        <v>278970.65887333348</v>
      </c>
      <c r="J28" s="584">
        <f t="shared" si="8"/>
        <v>278970.65887333348</v>
      </c>
      <c r="K28" s="584">
        <f t="shared" si="8"/>
        <v>278970.65887333348</v>
      </c>
      <c r="L28" s="585">
        <f t="shared" si="8"/>
        <v>278970.65887333348</v>
      </c>
    </row>
    <row r="29" spans="1:12" ht="15.75" thickBot="1" x14ac:dyDescent="0.3">
      <c r="A29" s="583" t="s">
        <v>630</v>
      </c>
      <c r="B29" s="584"/>
      <c r="C29" s="584">
        <f>SUM(C27:C28)</f>
        <v>85382.989826666788</v>
      </c>
      <c r="D29" s="584">
        <f>SUM(D27:D28)</f>
        <v>317866.73720333347</v>
      </c>
      <c r="E29" s="584">
        <f t="shared" ref="E29:L29" si="9">SUM(E27:E28)</f>
        <v>658908.76389666693</v>
      </c>
      <c r="F29" s="584">
        <f t="shared" si="9"/>
        <v>1355546.789436667</v>
      </c>
      <c r="G29" s="584">
        <f t="shared" si="9"/>
        <v>1103932.4483100004</v>
      </c>
      <c r="H29" s="584">
        <f t="shared" si="9"/>
        <v>1352903.107183334</v>
      </c>
      <c r="I29" s="584">
        <f t="shared" si="9"/>
        <v>1631873.7660566675</v>
      </c>
      <c r="J29" s="584">
        <f t="shared" si="9"/>
        <v>1910844.4249300011</v>
      </c>
      <c r="K29" s="584">
        <f t="shared" si="9"/>
        <v>2189815.0838033347</v>
      </c>
      <c r="L29" s="585">
        <f t="shared" si="9"/>
        <v>2468785.7426766683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B15" sqref="B15"/>
    </sheetView>
  </sheetViews>
  <sheetFormatPr baseColWidth="10" defaultRowHeight="15" x14ac:dyDescent="0.25"/>
  <cols>
    <col min="1" max="1" width="37.140625" customWidth="1"/>
    <col min="2" max="2" width="12.42578125" bestFit="1" customWidth="1"/>
    <col min="3" max="3" width="11.42578125" customWidth="1"/>
    <col min="5" max="5" width="21.28515625" customWidth="1"/>
    <col min="6" max="6" width="13.7109375" customWidth="1"/>
    <col min="7" max="7" width="28.140625" bestFit="1" customWidth="1"/>
    <col min="8" max="8" width="6.85546875" customWidth="1"/>
  </cols>
  <sheetData>
    <row r="1" spans="1:8" ht="15.75" customHeight="1" thickTop="1" thickBot="1" x14ac:dyDescent="0.3">
      <c r="A1" s="632" t="s">
        <v>384</v>
      </c>
      <c r="B1" s="633"/>
      <c r="C1" s="633"/>
      <c r="D1" s="633"/>
      <c r="E1" s="633"/>
      <c r="F1" s="634"/>
    </row>
    <row r="2" spans="1:8" ht="26.25" customHeight="1" thickTop="1" thickBot="1" x14ac:dyDescent="0.3">
      <c r="A2" s="185" t="s">
        <v>376</v>
      </c>
      <c r="B2" s="186" t="s">
        <v>452</v>
      </c>
      <c r="C2" s="187" t="s">
        <v>385</v>
      </c>
      <c r="D2" s="178"/>
      <c r="E2" s="177" t="s">
        <v>386</v>
      </c>
      <c r="F2" s="188" t="s">
        <v>377</v>
      </c>
    </row>
    <row r="3" spans="1:8" ht="15.75" thickTop="1" x14ac:dyDescent="0.25">
      <c r="A3" s="182" t="s">
        <v>383</v>
      </c>
      <c r="B3" s="183">
        <f>+Prestamo!C8</f>
        <v>150000</v>
      </c>
      <c r="C3" s="184" t="s">
        <v>379</v>
      </c>
      <c r="D3" s="413">
        <f>+Prestamo!C9</f>
        <v>0.03</v>
      </c>
      <c r="E3" s="164" t="s">
        <v>381</v>
      </c>
      <c r="F3" s="165">
        <f>+B3/($B$3+$B$4)</f>
        <v>0.12060848930851749</v>
      </c>
    </row>
    <row r="4" spans="1:8" x14ac:dyDescent="0.25">
      <c r="A4" s="161" t="s">
        <v>395</v>
      </c>
      <c r="B4" s="162">
        <f>-'CASH FLOW (US$)'!D242-B3</f>
        <v>1093693.5481075365</v>
      </c>
      <c r="C4" s="163" t="s">
        <v>394</v>
      </c>
      <c r="D4" s="166">
        <f>+B15</f>
        <v>0.1479</v>
      </c>
      <c r="E4" s="164" t="s">
        <v>382</v>
      </c>
      <c r="F4" s="165">
        <f>+B4/($B$3+$B$4)</f>
        <v>0.87939151069148247</v>
      </c>
    </row>
    <row r="5" spans="1:8" ht="15.75" thickBot="1" x14ac:dyDescent="0.3">
      <c r="A5" s="167" t="s">
        <v>378</v>
      </c>
      <c r="B5" s="168"/>
      <c r="C5" s="169" t="s">
        <v>380</v>
      </c>
      <c r="D5" s="170">
        <v>0.35</v>
      </c>
      <c r="E5" s="171"/>
      <c r="F5" s="172"/>
    </row>
    <row r="6" spans="1:8" ht="16.5" thickTop="1" thickBot="1" x14ac:dyDescent="0.3"/>
    <row r="7" spans="1:8" ht="16.5" thickTop="1" thickBot="1" x14ac:dyDescent="0.3">
      <c r="C7" s="181" t="s">
        <v>384</v>
      </c>
      <c r="D7" s="412">
        <f>+F3*(1-D5)*D3+F4*D4</f>
        <v>0.13241386997278634</v>
      </c>
    </row>
    <row r="8" spans="1:8" ht="15.75" thickTop="1" x14ac:dyDescent="0.25"/>
    <row r="9" spans="1:8" ht="15.75" thickBot="1" x14ac:dyDescent="0.3"/>
    <row r="10" spans="1:8" ht="19.5" thickBot="1" x14ac:dyDescent="0.3">
      <c r="A10" s="175" t="s">
        <v>559</v>
      </c>
      <c r="B10" s="156"/>
      <c r="G10" s="174"/>
      <c r="H10" s="173"/>
    </row>
    <row r="11" spans="1:8" ht="19.5" thickBot="1" x14ac:dyDescent="0.3">
      <c r="A11" s="157" t="s">
        <v>397</v>
      </c>
      <c r="B11" s="179">
        <v>2.2499999999999999E-2</v>
      </c>
    </row>
    <row r="12" spans="1:8" ht="19.5" thickBot="1" x14ac:dyDescent="0.3">
      <c r="A12" s="157" t="s">
        <v>374</v>
      </c>
      <c r="B12" s="179">
        <v>0.06</v>
      </c>
    </row>
    <row r="13" spans="1:8" ht="19.5" thickBot="1" x14ac:dyDescent="0.3">
      <c r="A13" s="157" t="s">
        <v>396</v>
      </c>
      <c r="B13" s="179">
        <v>5.9400000000000001E-2</v>
      </c>
    </row>
    <row r="14" spans="1:8" ht="19.5" thickBot="1" x14ac:dyDescent="0.3">
      <c r="A14" s="157" t="s">
        <v>398</v>
      </c>
      <c r="B14" s="513">
        <v>1.1000000000000001</v>
      </c>
    </row>
    <row r="15" spans="1:8" ht="19.5" thickBot="1" x14ac:dyDescent="0.3">
      <c r="A15" s="176" t="s">
        <v>394</v>
      </c>
      <c r="B15" s="180">
        <f>+B11+B12*B14+B13</f>
        <v>0.1479</v>
      </c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opLeftCell="B1" workbookViewId="0">
      <selection activeCell="K21" sqref="K21"/>
    </sheetView>
  </sheetViews>
  <sheetFormatPr baseColWidth="10" defaultRowHeight="15" x14ac:dyDescent="0.25"/>
  <cols>
    <col min="2" max="2" width="16.140625" bestFit="1" customWidth="1"/>
    <col min="3" max="3" width="12.5703125" bestFit="1" customWidth="1"/>
    <col min="4" max="4" width="12.28515625" bestFit="1" customWidth="1"/>
    <col min="5" max="6" width="12.28515625" customWidth="1"/>
    <col min="7" max="9" width="12.28515625" bestFit="1" customWidth="1"/>
  </cols>
  <sheetData>
    <row r="1" spans="1:11" x14ac:dyDescent="0.25">
      <c r="B1" s="510"/>
      <c r="C1" s="511" t="s">
        <v>317</v>
      </c>
      <c r="D1" s="512"/>
      <c r="E1" s="516"/>
      <c r="F1" s="516"/>
    </row>
    <row r="2" spans="1:11" x14ac:dyDescent="0.25">
      <c r="B2" s="505" t="s">
        <v>451</v>
      </c>
      <c r="C2" s="373">
        <f>+'CASH FLOW (US$)'!D47</f>
        <v>10</v>
      </c>
      <c r="D2" s="506"/>
      <c r="E2" s="373"/>
      <c r="F2" s="373"/>
    </row>
    <row r="3" spans="1:11" ht="15.75" thickBot="1" x14ac:dyDescent="0.3">
      <c r="B3" s="507" t="s">
        <v>558</v>
      </c>
      <c r="C3" s="508">
        <v>0.15</v>
      </c>
      <c r="D3" s="509"/>
      <c r="E3" s="373"/>
      <c r="F3" s="373"/>
    </row>
    <row r="4" spans="1:11" x14ac:dyDescent="0.25">
      <c r="C4" s="360"/>
      <c r="D4" s="360"/>
      <c r="E4" s="360"/>
      <c r="F4" s="360"/>
    </row>
    <row r="6" spans="1:11" ht="15.75" thickBot="1" x14ac:dyDescent="0.3">
      <c r="B6" s="6"/>
    </row>
    <row r="7" spans="1:11" ht="15.75" thickBot="1" x14ac:dyDescent="0.3">
      <c r="A7" s="488"/>
      <c r="B7" s="489" t="s">
        <v>317</v>
      </c>
      <c r="C7" s="490" t="s">
        <v>1</v>
      </c>
      <c r="D7" s="500" t="s">
        <v>555</v>
      </c>
      <c r="E7" s="519" t="s">
        <v>278</v>
      </c>
      <c r="F7" s="519" t="s">
        <v>364</v>
      </c>
      <c r="G7" s="519" t="s">
        <v>183</v>
      </c>
      <c r="H7" s="519" t="s">
        <v>184</v>
      </c>
      <c r="I7" s="519" t="s">
        <v>185</v>
      </c>
      <c r="J7" s="519" t="s">
        <v>186</v>
      </c>
      <c r="K7" s="519" t="s">
        <v>187</v>
      </c>
    </row>
    <row r="8" spans="1:11" ht="15.75" thickBot="1" x14ac:dyDescent="0.3">
      <c r="A8" s="491" t="s">
        <v>387</v>
      </c>
      <c r="B8" s="492">
        <v>1500000</v>
      </c>
      <c r="C8" s="499">
        <f>+B8/C2</f>
        <v>150000</v>
      </c>
      <c r="D8" s="485" t="s">
        <v>475</v>
      </c>
      <c r="E8" s="517"/>
      <c r="F8" s="517"/>
      <c r="G8" s="438">
        <f>+C8*$C$9</f>
        <v>4500</v>
      </c>
      <c r="H8" s="438">
        <f>+G10*$C$9</f>
        <v>3600</v>
      </c>
      <c r="I8" s="438">
        <f>+H10*$C$9</f>
        <v>2700</v>
      </c>
      <c r="J8" s="438">
        <f>+I10*$C$9</f>
        <v>1800</v>
      </c>
      <c r="K8" s="439">
        <f>+J10*$C$9</f>
        <v>900</v>
      </c>
    </row>
    <row r="9" spans="1:11" x14ac:dyDescent="0.25">
      <c r="A9" s="491" t="s">
        <v>388</v>
      </c>
      <c r="B9" s="493">
        <v>0.17499999999999999</v>
      </c>
      <c r="C9" s="494">
        <v>0.03</v>
      </c>
      <c r="D9" s="485" t="s">
        <v>393</v>
      </c>
      <c r="E9" s="517"/>
      <c r="F9" s="517"/>
      <c r="G9" s="438">
        <f>+$C$8/5</f>
        <v>30000</v>
      </c>
      <c r="H9" s="438">
        <f>+$C$8/5</f>
        <v>30000</v>
      </c>
      <c r="I9" s="438">
        <f>+$C$8/5</f>
        <v>30000</v>
      </c>
      <c r="J9" s="438">
        <f>+$C$8/5</f>
        <v>30000</v>
      </c>
      <c r="K9" s="439">
        <f>+$C$8/5</f>
        <v>30000</v>
      </c>
    </row>
    <row r="10" spans="1:11" x14ac:dyDescent="0.25">
      <c r="A10" s="491" t="s">
        <v>389</v>
      </c>
      <c r="B10" s="493">
        <f>+B9/12</f>
        <v>1.4583333333333332E-2</v>
      </c>
      <c r="C10" s="495">
        <f>+C9/12</f>
        <v>2.5000000000000001E-3</v>
      </c>
      <c r="D10" s="485" t="s">
        <v>476</v>
      </c>
      <c r="E10" s="520"/>
      <c r="F10" s="520">
        <f>+C8</f>
        <v>150000</v>
      </c>
      <c r="G10" s="438">
        <f>+C8-G9</f>
        <v>120000</v>
      </c>
      <c r="H10" s="438">
        <f>+G10-H9</f>
        <v>90000</v>
      </c>
      <c r="I10" s="438">
        <f t="shared" ref="I10:K10" si="0">+H10-I9</f>
        <v>60000</v>
      </c>
      <c r="J10" s="438">
        <f t="shared" si="0"/>
        <v>30000</v>
      </c>
      <c r="K10" s="439">
        <f t="shared" si="0"/>
        <v>0</v>
      </c>
    </row>
    <row r="11" spans="1:11" ht="15.75" thickBot="1" x14ac:dyDescent="0.3">
      <c r="A11" s="496" t="s">
        <v>392</v>
      </c>
      <c r="B11" s="497">
        <v>5</v>
      </c>
      <c r="C11" s="498">
        <v>5</v>
      </c>
      <c r="D11" s="486" t="s">
        <v>391</v>
      </c>
      <c r="E11" s="518"/>
      <c r="F11" s="518"/>
      <c r="G11" s="487">
        <f>SUM(G8:G9)</f>
        <v>34500</v>
      </c>
      <c r="H11" s="487">
        <f t="shared" ref="H11:K11" si="1">SUM(H8:H9)</f>
        <v>33600</v>
      </c>
      <c r="I11" s="487">
        <f t="shared" si="1"/>
        <v>32700</v>
      </c>
      <c r="J11" s="487">
        <f t="shared" si="1"/>
        <v>31800</v>
      </c>
      <c r="K11" s="487">
        <f t="shared" si="1"/>
        <v>30900</v>
      </c>
    </row>
    <row r="20" spans="11:11" x14ac:dyDescent="0.25">
      <c r="K20" s="536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"/>
  <sheetViews>
    <sheetView topLeftCell="A37" workbookViewId="0">
      <selection activeCell="K45" sqref="K45"/>
    </sheetView>
  </sheetViews>
  <sheetFormatPr baseColWidth="10" defaultRowHeight="15" x14ac:dyDescent="0.25"/>
  <cols>
    <col min="1" max="1" width="38" style="6" bestFit="1" customWidth="1"/>
    <col min="2" max="2" width="29.42578125" style="6" bestFit="1" customWidth="1"/>
  </cols>
  <sheetData>
    <row r="1" spans="1:3" ht="15.75" thickBot="1" x14ac:dyDescent="0.3"/>
    <row r="2" spans="1:3" ht="16.5" thickTop="1" thickBot="1" x14ac:dyDescent="0.3">
      <c r="A2" s="501" t="s">
        <v>179</v>
      </c>
      <c r="B2" s="501" t="s">
        <v>180</v>
      </c>
      <c r="C2" s="501"/>
    </row>
    <row r="3" spans="1:3" ht="16.5" thickTop="1" thickBot="1" x14ac:dyDescent="0.3">
      <c r="A3" s="189">
        <v>40</v>
      </c>
      <c r="B3" s="189">
        <v>-18</v>
      </c>
      <c r="C3" s="577"/>
    </row>
    <row r="4" spans="1:3" ht="16.5" thickTop="1" thickBot="1" x14ac:dyDescent="0.3">
      <c r="A4" s="189">
        <v>45</v>
      </c>
      <c r="B4" s="189">
        <v>8</v>
      </c>
      <c r="C4" s="577"/>
    </row>
    <row r="5" spans="1:3" ht="16.5" thickTop="1" thickBot="1" x14ac:dyDescent="0.3">
      <c r="A5" s="189">
        <v>50</v>
      </c>
      <c r="B5" s="189">
        <v>21</v>
      </c>
      <c r="C5" s="577"/>
    </row>
    <row r="6" spans="1:3" ht="16.5" thickTop="1" thickBot="1" x14ac:dyDescent="0.3">
      <c r="A6" s="189">
        <v>55</v>
      </c>
      <c r="B6" s="189">
        <v>31</v>
      </c>
      <c r="C6" s="577"/>
    </row>
    <row r="7" spans="1:3" ht="16.5" thickTop="1" thickBot="1" x14ac:dyDescent="0.3">
      <c r="A7" s="189">
        <v>60</v>
      </c>
      <c r="B7" s="189">
        <v>40</v>
      </c>
      <c r="C7" s="577"/>
    </row>
    <row r="8" spans="1:3" ht="15.75" thickTop="1" x14ac:dyDescent="0.25"/>
    <row r="22" spans="1:3" ht="15.75" thickBot="1" x14ac:dyDescent="0.3"/>
    <row r="23" spans="1:3" ht="16.5" thickTop="1" thickBot="1" x14ac:dyDescent="0.3">
      <c r="A23" s="501" t="s">
        <v>556</v>
      </c>
      <c r="B23" s="502">
        <v>0.55000000000000004</v>
      </c>
      <c r="C23" s="81"/>
    </row>
    <row r="24" spans="1:3" ht="16.5" thickTop="1" thickBot="1" x14ac:dyDescent="0.3">
      <c r="A24" s="503" t="s">
        <v>429</v>
      </c>
      <c r="B24" s="501" t="s">
        <v>180</v>
      </c>
    </row>
    <row r="25" spans="1:3" ht="16.5" thickTop="1" thickBot="1" x14ac:dyDescent="0.3">
      <c r="A25" s="189">
        <v>2</v>
      </c>
      <c r="B25" s="189">
        <v>2</v>
      </c>
    </row>
    <row r="26" spans="1:3" ht="16.5" thickTop="1" thickBot="1" x14ac:dyDescent="0.3">
      <c r="A26" s="189">
        <v>2.5</v>
      </c>
      <c r="B26" s="189">
        <v>10</v>
      </c>
      <c r="C26" s="6"/>
    </row>
    <row r="27" spans="1:3" ht="16.5" thickTop="1" thickBot="1" x14ac:dyDescent="0.3">
      <c r="A27" s="189">
        <v>3</v>
      </c>
      <c r="B27" s="189">
        <v>17</v>
      </c>
      <c r="C27" s="6"/>
    </row>
    <row r="28" spans="1:3" ht="16.5" thickTop="1" thickBot="1" x14ac:dyDescent="0.3">
      <c r="A28" s="189">
        <v>3.5</v>
      </c>
      <c r="B28" s="189">
        <v>22</v>
      </c>
      <c r="C28" s="6"/>
    </row>
    <row r="29" spans="1:3" ht="16.5" thickTop="1" thickBot="1" x14ac:dyDescent="0.3">
      <c r="A29" s="189">
        <v>4</v>
      </c>
      <c r="B29" s="189">
        <v>27</v>
      </c>
      <c r="C29" s="6"/>
    </row>
    <row r="30" spans="1:3" ht="16.5" thickTop="1" thickBot="1" x14ac:dyDescent="0.3">
      <c r="A30" s="189">
        <v>4.5</v>
      </c>
      <c r="B30" s="189">
        <v>32</v>
      </c>
      <c r="C30" s="6"/>
    </row>
    <row r="31" spans="1:3" ht="16.5" thickTop="1" thickBot="1" x14ac:dyDescent="0.3">
      <c r="A31" s="189">
        <v>5</v>
      </c>
      <c r="B31" s="189">
        <v>36</v>
      </c>
      <c r="C31" s="6"/>
    </row>
    <row r="32" spans="1:3" ht="16.5" thickTop="1" thickBot="1" x14ac:dyDescent="0.3">
      <c r="A32" s="189">
        <v>5.5</v>
      </c>
      <c r="B32" s="189">
        <v>41</v>
      </c>
      <c r="C32" s="6"/>
    </row>
    <row r="33" spans="1:3" ht="15.75" thickTop="1" x14ac:dyDescent="0.25"/>
    <row r="41" spans="1:3" ht="15.75" thickBot="1" x14ac:dyDescent="0.3"/>
    <row r="42" spans="1:3" ht="16.5" thickTop="1" thickBot="1" x14ac:dyDescent="0.3">
      <c r="A42" s="501" t="s">
        <v>429</v>
      </c>
      <c r="B42" s="501">
        <v>4.9800000000000004</v>
      </c>
    </row>
    <row r="43" spans="1:3" ht="16.5" thickTop="1" thickBot="1" x14ac:dyDescent="0.3">
      <c r="A43" s="501" t="s">
        <v>30</v>
      </c>
      <c r="B43" s="502">
        <v>0.55000000000000004</v>
      </c>
      <c r="C43" s="81"/>
    </row>
    <row r="44" spans="1:3" ht="16.5" thickTop="1" thickBot="1" x14ac:dyDescent="0.3">
      <c r="A44" s="501" t="s">
        <v>557</v>
      </c>
      <c r="B44" s="501" t="s">
        <v>180</v>
      </c>
      <c r="C44" s="6"/>
    </row>
    <row r="45" spans="1:3" ht="16.5" thickTop="1" thickBot="1" x14ac:dyDescent="0.3">
      <c r="A45" s="189">
        <v>400</v>
      </c>
      <c r="B45" s="189">
        <v>53</v>
      </c>
      <c r="C45" s="81"/>
    </row>
    <row r="46" spans="1:3" ht="16.5" thickTop="1" thickBot="1" x14ac:dyDescent="0.3">
      <c r="A46" s="189">
        <v>500</v>
      </c>
      <c r="B46" s="189">
        <v>44</v>
      </c>
      <c r="C46" s="81"/>
    </row>
    <row r="47" spans="1:3" ht="16.5" thickTop="1" thickBot="1" x14ac:dyDescent="0.3">
      <c r="A47" s="189">
        <v>600</v>
      </c>
      <c r="B47" s="189">
        <v>35</v>
      </c>
      <c r="C47" s="81"/>
    </row>
    <row r="48" spans="1:3" ht="16.5" thickTop="1" thickBot="1" x14ac:dyDescent="0.3">
      <c r="A48" s="189">
        <v>700</v>
      </c>
      <c r="B48" s="189">
        <v>27</v>
      </c>
      <c r="C48" s="81"/>
    </row>
    <row r="49" spans="1:3" ht="16.5" thickTop="1" thickBot="1" x14ac:dyDescent="0.3">
      <c r="A49" s="189">
        <v>800</v>
      </c>
      <c r="B49" s="189">
        <v>18</v>
      </c>
      <c r="C49" s="81"/>
    </row>
    <row r="50" spans="1:3" ht="16.5" thickTop="1" thickBot="1" x14ac:dyDescent="0.3">
      <c r="A50" s="189">
        <v>900</v>
      </c>
      <c r="B50" s="189">
        <v>8</v>
      </c>
      <c r="C50" s="81"/>
    </row>
    <row r="51" spans="1:3" ht="15.75" thickTop="1" x14ac:dyDescent="0.25"/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M24"/>
  <sheetViews>
    <sheetView topLeftCell="A6" workbookViewId="0">
      <selection activeCell="K25" sqref="K25"/>
    </sheetView>
  </sheetViews>
  <sheetFormatPr baseColWidth="10" defaultRowHeight="15" x14ac:dyDescent="0.25"/>
  <cols>
    <col min="3" max="3" width="29.5703125" bestFit="1" customWidth="1"/>
  </cols>
  <sheetData>
    <row r="7" spans="3:13" x14ac:dyDescent="0.25">
      <c r="E7" s="190">
        <v>0.1</v>
      </c>
    </row>
    <row r="8" spans="3:13" x14ac:dyDescent="0.25">
      <c r="C8" t="s">
        <v>401</v>
      </c>
      <c r="D8">
        <v>100</v>
      </c>
      <c r="E8">
        <f>+D8*(1+E7)</f>
        <v>110.00000000000001</v>
      </c>
      <c r="I8" t="s">
        <v>349</v>
      </c>
      <c r="J8" t="s">
        <v>479</v>
      </c>
      <c r="K8" t="s">
        <v>1</v>
      </c>
      <c r="L8">
        <v>240832.77214814816</v>
      </c>
    </row>
    <row r="9" spans="3:13" x14ac:dyDescent="0.25">
      <c r="C9" t="s">
        <v>402</v>
      </c>
      <c r="D9" s="190">
        <v>0.5</v>
      </c>
      <c r="E9" s="190">
        <v>0.4</v>
      </c>
      <c r="J9" t="s">
        <v>540</v>
      </c>
      <c r="K9" t="s">
        <v>1</v>
      </c>
      <c r="L9">
        <v>165388.54992592594</v>
      </c>
    </row>
    <row r="10" spans="3:13" x14ac:dyDescent="0.25">
      <c r="C10" t="s">
        <v>403</v>
      </c>
      <c r="D10">
        <f>+D8*D9</f>
        <v>50</v>
      </c>
      <c r="E10">
        <f>+E8*E9</f>
        <v>44.000000000000007</v>
      </c>
      <c r="I10" t="s">
        <v>478</v>
      </c>
      <c r="J10" t="s">
        <v>323</v>
      </c>
    </row>
    <row r="11" spans="3:13" x14ac:dyDescent="0.25">
      <c r="J11" t="s">
        <v>324</v>
      </c>
      <c r="K11" t="s">
        <v>1</v>
      </c>
      <c r="L11">
        <v>40972.222222222219</v>
      </c>
    </row>
    <row r="12" spans="3:13" x14ac:dyDescent="0.25">
      <c r="C12" t="s">
        <v>404</v>
      </c>
      <c r="D12">
        <f>+D8*D13</f>
        <v>30</v>
      </c>
      <c r="E12">
        <f>+D12*(1+E7)</f>
        <v>33</v>
      </c>
      <c r="J12" t="s">
        <v>443</v>
      </c>
      <c r="K12" t="s">
        <v>1</v>
      </c>
      <c r="L12">
        <v>12992</v>
      </c>
    </row>
    <row r="13" spans="3:13" x14ac:dyDescent="0.25">
      <c r="C13" t="s">
        <v>405</v>
      </c>
      <c r="D13" s="190">
        <v>0.3</v>
      </c>
      <c r="J13" t="s">
        <v>444</v>
      </c>
      <c r="K13" t="s">
        <v>1</v>
      </c>
      <c r="L13">
        <v>2800</v>
      </c>
      <c r="M13" t="s">
        <v>499</v>
      </c>
    </row>
    <row r="14" spans="3:13" x14ac:dyDescent="0.25">
      <c r="J14" t="s">
        <v>126</v>
      </c>
      <c r="K14" t="s">
        <v>1</v>
      </c>
      <c r="L14">
        <v>2180</v>
      </c>
    </row>
    <row r="15" spans="3:13" x14ac:dyDescent="0.25">
      <c r="C15" t="s">
        <v>406</v>
      </c>
      <c r="D15">
        <v>70</v>
      </c>
      <c r="E15">
        <f>+D15*(1+E7)</f>
        <v>77</v>
      </c>
      <c r="J15" t="s">
        <v>127</v>
      </c>
      <c r="K15" t="s">
        <v>1</v>
      </c>
      <c r="L15">
        <v>500</v>
      </c>
    </row>
    <row r="16" spans="3:13" x14ac:dyDescent="0.25">
      <c r="C16" t="s">
        <v>407</v>
      </c>
      <c r="D16" s="190">
        <v>0.1</v>
      </c>
      <c r="E16" s="190">
        <v>0.1</v>
      </c>
    </row>
    <row r="17" spans="3:5" x14ac:dyDescent="0.25">
      <c r="C17" t="s">
        <v>408</v>
      </c>
      <c r="D17">
        <f>+D16*D15</f>
        <v>7</v>
      </c>
      <c r="E17">
        <f>+E16*E15</f>
        <v>7.7</v>
      </c>
    </row>
    <row r="19" spans="3:5" x14ac:dyDescent="0.25">
      <c r="C19" t="s">
        <v>409</v>
      </c>
      <c r="D19">
        <f>+D10+D12-D17</f>
        <v>73</v>
      </c>
      <c r="E19">
        <f>+E10+E12-E17</f>
        <v>69.3</v>
      </c>
    </row>
    <row r="20" spans="3:5" x14ac:dyDescent="0.25">
      <c r="C20" t="s">
        <v>410</v>
      </c>
      <c r="D20" s="191">
        <f>+D19/D8</f>
        <v>0.73</v>
      </c>
      <c r="E20" s="191">
        <f>+E19/E8</f>
        <v>0.62999999999999989</v>
      </c>
    </row>
    <row r="22" spans="3:5" x14ac:dyDescent="0.25">
      <c r="C22" t="s">
        <v>412</v>
      </c>
      <c r="D22">
        <v>80</v>
      </c>
    </row>
    <row r="23" spans="3:5" x14ac:dyDescent="0.25">
      <c r="C23" t="s">
        <v>411</v>
      </c>
      <c r="D23">
        <f>+D22+D19</f>
        <v>153</v>
      </c>
    </row>
    <row r="24" spans="3:5" x14ac:dyDescent="0.25">
      <c r="C24" t="s">
        <v>413</v>
      </c>
      <c r="D24" s="191">
        <f>+D22/D23</f>
        <v>0.52287581699346408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H15" sqref="H15"/>
    </sheetView>
  </sheetViews>
  <sheetFormatPr baseColWidth="10" defaultColWidth="11.42578125" defaultRowHeight="15" x14ac:dyDescent="0.25"/>
  <cols>
    <col min="2" max="2" width="39.140625" bestFit="1" customWidth="1"/>
    <col min="3" max="3" width="10" bestFit="1" customWidth="1"/>
    <col min="4" max="4" width="4.140625" customWidth="1"/>
    <col min="5" max="5" width="42.5703125" bestFit="1" customWidth="1"/>
    <col min="6" max="6" width="7.42578125" bestFit="1" customWidth="1"/>
    <col min="7" max="7" width="4" customWidth="1"/>
    <col min="8" max="8" width="49.42578125" bestFit="1" customWidth="1"/>
  </cols>
  <sheetData>
    <row r="1" spans="1:9" ht="16.5" thickTop="1" thickBot="1" x14ac:dyDescent="0.3">
      <c r="A1" t="s">
        <v>87</v>
      </c>
      <c r="B1" s="593" t="s">
        <v>50</v>
      </c>
      <c r="C1" s="594"/>
      <c r="E1" s="593" t="s">
        <v>85</v>
      </c>
      <c r="F1" s="594"/>
      <c r="H1" s="593" t="s">
        <v>258</v>
      </c>
      <c r="I1" s="594"/>
    </row>
    <row r="2" spans="1:9" ht="16.5" thickTop="1" thickBot="1" x14ac:dyDescent="0.3">
      <c r="B2" s="30" t="s">
        <v>51</v>
      </c>
      <c r="C2" s="32">
        <f>+Datos!B4</f>
        <v>25000</v>
      </c>
      <c r="E2" s="30" t="s">
        <v>52</v>
      </c>
      <c r="F2" s="32">
        <f>Datos!B4*F4</f>
        <v>15000</v>
      </c>
      <c r="H2" s="30" t="s">
        <v>259</v>
      </c>
      <c r="I2" s="32">
        <f>+C14</f>
        <v>6410.2564102564102</v>
      </c>
    </row>
    <row r="3" spans="1:9" ht="16.5" thickTop="1" thickBot="1" x14ac:dyDescent="0.3">
      <c r="B3" s="30" t="s">
        <v>256</v>
      </c>
      <c r="C3" s="32">
        <f>+'Almacenamiento trozas'!C14</f>
        <v>1068.3760683760684</v>
      </c>
      <c r="E3" s="30" t="s">
        <v>54</v>
      </c>
      <c r="F3" s="114">
        <v>8</v>
      </c>
      <c r="H3" s="30" t="s">
        <v>260</v>
      </c>
      <c r="I3" s="32">
        <f>+F15</f>
        <v>10666.203147715059</v>
      </c>
    </row>
    <row r="4" spans="1:9" ht="16.5" thickTop="1" thickBot="1" x14ac:dyDescent="0.3">
      <c r="B4" s="30" t="s">
        <v>56</v>
      </c>
      <c r="C4" s="114">
        <f>+Datos!B9</f>
        <v>4</v>
      </c>
      <c r="E4" s="30" t="s">
        <v>57</v>
      </c>
      <c r="F4" s="553">
        <v>0.6</v>
      </c>
      <c r="H4" s="30" t="s">
        <v>58</v>
      </c>
      <c r="I4" s="32">
        <v>1500</v>
      </c>
    </row>
    <row r="5" spans="1:9" ht="16.5" thickTop="1" thickBot="1" x14ac:dyDescent="0.3">
      <c r="B5" s="30" t="s">
        <v>59</v>
      </c>
      <c r="C5" s="114">
        <v>1.5</v>
      </c>
      <c r="E5" s="30" t="s">
        <v>60</v>
      </c>
      <c r="F5" s="114">
        <v>20</v>
      </c>
      <c r="H5" s="30" t="s">
        <v>86</v>
      </c>
      <c r="I5" s="33">
        <v>4000</v>
      </c>
    </row>
    <row r="6" spans="1:9" ht="16.5" thickTop="1" thickBot="1" x14ac:dyDescent="0.3">
      <c r="B6" s="30" t="s">
        <v>61</v>
      </c>
      <c r="C6" s="34">
        <v>0.5</v>
      </c>
      <c r="E6" s="30" t="s">
        <v>62</v>
      </c>
      <c r="F6" s="114">
        <f>+Datos!B9</f>
        <v>4</v>
      </c>
      <c r="H6" s="30" t="s">
        <v>261</v>
      </c>
      <c r="I6" s="30">
        <v>300</v>
      </c>
    </row>
    <row r="7" spans="1:9" ht="16.5" thickTop="1" thickBot="1" x14ac:dyDescent="0.3">
      <c r="B7" s="30" t="s">
        <v>64</v>
      </c>
      <c r="C7" s="30">
        <v>10</v>
      </c>
      <c r="E7" s="30" t="s">
        <v>59</v>
      </c>
      <c r="F7" s="30">
        <v>2</v>
      </c>
      <c r="H7" s="35" t="s">
        <v>63</v>
      </c>
      <c r="I7" s="36">
        <f>SUM(I2:I6)</f>
        <v>22876.45955797147</v>
      </c>
    </row>
    <row r="8" spans="1:9" ht="16.5" thickTop="1" thickBot="1" x14ac:dyDescent="0.3">
      <c r="B8" s="35" t="s">
        <v>66</v>
      </c>
      <c r="C8" s="36">
        <f>+C3/(C5*C6)</f>
        <v>1424.5014245014245</v>
      </c>
      <c r="E8" s="30" t="s">
        <v>67</v>
      </c>
      <c r="F8" s="34">
        <v>0.8</v>
      </c>
      <c r="H8" s="35" t="s">
        <v>65</v>
      </c>
      <c r="I8" s="48">
        <f>I7/10000</f>
        <v>2.2876459557971471</v>
      </c>
    </row>
    <row r="9" spans="1:9" ht="16.5" thickTop="1" thickBot="1" x14ac:dyDescent="0.3">
      <c r="B9" s="37"/>
      <c r="C9" s="37"/>
      <c r="E9" s="30" t="s">
        <v>64</v>
      </c>
      <c r="F9" s="30">
        <v>10</v>
      </c>
    </row>
    <row r="10" spans="1:9" ht="16.5" thickTop="1" thickBot="1" x14ac:dyDescent="0.3">
      <c r="B10" s="35" t="s">
        <v>68</v>
      </c>
      <c r="C10" s="36">
        <f>+C8*4.5</f>
        <v>6410.2564102564102</v>
      </c>
      <c r="E10" s="35" t="s">
        <v>69</v>
      </c>
      <c r="F10" s="36">
        <f>+F2*F3/52</f>
        <v>2307.6923076923076</v>
      </c>
    </row>
    <row r="11" spans="1:9" ht="16.5" thickTop="1" thickBot="1" x14ac:dyDescent="0.3">
      <c r="B11" s="37"/>
      <c r="C11" s="37"/>
      <c r="E11" s="35" t="s">
        <v>70</v>
      </c>
      <c r="F11" s="36">
        <f>+F10/(F7*F8)</f>
        <v>1442.3076923076922</v>
      </c>
    </row>
    <row r="12" spans="1:9" ht="16.5" thickTop="1" thickBot="1" x14ac:dyDescent="0.3">
      <c r="B12" s="35" t="s">
        <v>71</v>
      </c>
      <c r="C12" s="36">
        <v>1</v>
      </c>
    </row>
    <row r="13" spans="1:9" ht="16.5" thickTop="1" thickBot="1" x14ac:dyDescent="0.3">
      <c r="B13" s="37"/>
      <c r="C13" s="37"/>
      <c r="E13" s="35" t="s">
        <v>72</v>
      </c>
      <c r="F13" s="36">
        <f>+F11*6</f>
        <v>8653.8461538461524</v>
      </c>
      <c r="G13" s="38">
        <f>6000/4868</f>
        <v>1.2325390304026294</v>
      </c>
    </row>
    <row r="14" spans="1:9" ht="16.5" thickTop="1" thickBot="1" x14ac:dyDescent="0.3">
      <c r="B14" s="35" t="s">
        <v>53</v>
      </c>
      <c r="C14" s="36">
        <f>+C10*C12</f>
        <v>6410.2564102564102</v>
      </c>
    </row>
    <row r="15" spans="1:9" ht="16.5" thickTop="1" thickBot="1" x14ac:dyDescent="0.3">
      <c r="E15" s="35" t="s">
        <v>55</v>
      </c>
      <c r="F15" s="36">
        <f>+F13*G13</f>
        <v>10666.203147715059</v>
      </c>
    </row>
    <row r="16" spans="1:9" ht="15.75" thickTop="1" x14ac:dyDescent="0.25"/>
  </sheetData>
  <mergeCells count="3">
    <mergeCell ref="B1:C1"/>
    <mergeCell ref="E1:F1"/>
    <mergeCell ref="H1:I1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workbookViewId="0">
      <selection activeCell="C13" sqref="C13"/>
    </sheetView>
  </sheetViews>
  <sheetFormatPr baseColWidth="10" defaultColWidth="11.42578125" defaultRowHeight="15" x14ac:dyDescent="0.25"/>
  <cols>
    <col min="2" max="2" width="56" bestFit="1" customWidth="1"/>
  </cols>
  <sheetData>
    <row r="1" spans="2:5" ht="15.75" thickBot="1" x14ac:dyDescent="0.3"/>
    <row r="2" spans="2:5" ht="16.5" thickTop="1" thickBot="1" x14ac:dyDescent="0.3">
      <c r="B2" s="595" t="s">
        <v>73</v>
      </c>
      <c r="C2" s="595"/>
    </row>
    <row r="3" spans="2:5" ht="16.5" thickTop="1" thickBot="1" x14ac:dyDescent="0.3">
      <c r="B3" s="39" t="s">
        <v>74</v>
      </c>
      <c r="C3" s="67">
        <f>+Datos!E9</f>
        <v>365</v>
      </c>
    </row>
    <row r="4" spans="2:5" ht="16.5" thickTop="1" thickBot="1" x14ac:dyDescent="0.3">
      <c r="B4" s="1" t="s">
        <v>75</v>
      </c>
      <c r="C4" s="67">
        <f>+Datos!E10</f>
        <v>14</v>
      </c>
    </row>
    <row r="5" spans="2:5" ht="16.5" thickTop="1" thickBot="1" x14ac:dyDescent="0.3">
      <c r="B5" s="1" t="s">
        <v>76</v>
      </c>
      <c r="C5" s="67">
        <f>+Datos!E11</f>
        <v>100</v>
      </c>
    </row>
    <row r="6" spans="2:5" ht="16.5" thickTop="1" thickBot="1" x14ac:dyDescent="0.3">
      <c r="B6" s="1" t="s">
        <v>77</v>
      </c>
      <c r="C6" s="67">
        <f>+Datos!E12</f>
        <v>17</v>
      </c>
    </row>
    <row r="7" spans="2:5" ht="16.5" thickTop="1" thickBot="1" x14ac:dyDescent="0.3">
      <c r="B7" s="39" t="s">
        <v>78</v>
      </c>
      <c r="C7" s="67">
        <f>+Datos!E13</f>
        <v>131</v>
      </c>
    </row>
    <row r="8" spans="2:5" ht="16.5" thickTop="1" thickBot="1" x14ac:dyDescent="0.3">
      <c r="B8" s="40" t="s">
        <v>79</v>
      </c>
      <c r="C8" s="40">
        <f>+C3-C7</f>
        <v>234</v>
      </c>
    </row>
    <row r="9" spans="2:5" ht="16.5" thickTop="1" thickBot="1" x14ac:dyDescent="0.3"/>
    <row r="10" spans="2:5" ht="16.5" thickTop="1" thickBot="1" x14ac:dyDescent="0.3">
      <c r="B10" s="30" t="s">
        <v>51</v>
      </c>
      <c r="C10" s="31">
        <f>+Datos!B4</f>
        <v>25000</v>
      </c>
    </row>
    <row r="11" spans="2:5" ht="16.5" thickTop="1" thickBot="1" x14ac:dyDescent="0.3">
      <c r="B11" s="40" t="s">
        <v>80</v>
      </c>
      <c r="C11" s="41">
        <f>+C10/C8</f>
        <v>106.83760683760684</v>
      </c>
    </row>
    <row r="12" spans="2:5" ht="16.5" thickTop="1" thickBot="1" x14ac:dyDescent="0.3"/>
    <row r="13" spans="2:5" ht="16.5" thickTop="1" thickBot="1" x14ac:dyDescent="0.3">
      <c r="B13" s="30" t="s">
        <v>81</v>
      </c>
      <c r="C13" s="31">
        <v>10</v>
      </c>
    </row>
    <row r="14" spans="2:5" ht="16.5" thickTop="1" thickBot="1" x14ac:dyDescent="0.3">
      <c r="B14" s="40" t="s">
        <v>82</v>
      </c>
      <c r="C14" s="42">
        <f>+C13*C11</f>
        <v>1068.3760683760684</v>
      </c>
      <c r="E14">
        <f>+C14/C11</f>
        <v>10</v>
      </c>
    </row>
    <row r="15" spans="2:5" ht="16.5" thickTop="1" thickBot="1" x14ac:dyDescent="0.3"/>
    <row r="16" spans="2:5" ht="16.5" thickTop="1" thickBot="1" x14ac:dyDescent="0.3">
      <c r="B16" s="43" t="s">
        <v>79</v>
      </c>
      <c r="C16" s="43">
        <f>+C8</f>
        <v>234</v>
      </c>
    </row>
    <row r="17" spans="2:3" ht="16.5" thickTop="1" thickBot="1" x14ac:dyDescent="0.3">
      <c r="B17" s="30" t="s">
        <v>81</v>
      </c>
      <c r="C17" s="32">
        <f>+C13</f>
        <v>10</v>
      </c>
    </row>
    <row r="18" spans="2:3" ht="16.5" thickTop="1" thickBot="1" x14ac:dyDescent="0.3">
      <c r="B18" s="30" t="s">
        <v>83</v>
      </c>
      <c r="C18" s="32">
        <f>+C16-C17</f>
        <v>224</v>
      </c>
    </row>
    <row r="19" spans="2:3" ht="16.5" thickTop="1" thickBot="1" x14ac:dyDescent="0.3">
      <c r="B19" s="44" t="s">
        <v>84</v>
      </c>
      <c r="C19" s="45">
        <f>+C10/C18</f>
        <v>111.60714285714286</v>
      </c>
    </row>
    <row r="20" spans="2:3" ht="15.75" thickTop="1" x14ac:dyDescent="0.25"/>
  </sheetData>
  <mergeCells count="1">
    <mergeCell ref="B2:C2"/>
  </mergeCells>
  <phoneticPr fontId="9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F18" sqref="F18"/>
    </sheetView>
  </sheetViews>
  <sheetFormatPr baseColWidth="10" defaultColWidth="11.42578125" defaultRowHeight="15" x14ac:dyDescent="0.25"/>
  <cols>
    <col min="1" max="1" width="12.140625" bestFit="1" customWidth="1"/>
    <col min="2" max="2" width="13" bestFit="1" customWidth="1"/>
    <col min="3" max="3" width="15.85546875" customWidth="1"/>
    <col min="4" max="4" width="16" customWidth="1"/>
    <col min="5" max="5" width="11.5703125" customWidth="1"/>
    <col min="6" max="6" width="11.7109375" bestFit="1" customWidth="1"/>
  </cols>
  <sheetData>
    <row r="1" spans="1:6" ht="15.75" thickBot="1" x14ac:dyDescent="0.3"/>
    <row r="2" spans="1:6" ht="16.5" thickTop="1" thickBot="1" x14ac:dyDescent="0.3">
      <c r="A2" s="591" t="s">
        <v>150</v>
      </c>
      <c r="B2" s="596"/>
      <c r="C2" s="596"/>
      <c r="D2" s="596"/>
      <c r="E2" s="596"/>
      <c r="F2" s="592"/>
    </row>
    <row r="3" spans="1:6" ht="46.5" thickTop="1" thickBot="1" x14ac:dyDescent="0.3">
      <c r="A3" s="11" t="s">
        <v>21</v>
      </c>
      <c r="B3" s="11" t="s">
        <v>151</v>
      </c>
      <c r="C3" s="11" t="s">
        <v>148</v>
      </c>
      <c r="D3" s="12" t="s">
        <v>149</v>
      </c>
      <c r="E3" s="12" t="s">
        <v>147</v>
      </c>
      <c r="F3" s="11" t="s">
        <v>152</v>
      </c>
    </row>
    <row r="4" spans="1:6" ht="31.5" thickTop="1" thickBot="1" x14ac:dyDescent="0.3">
      <c r="A4" s="12" t="s">
        <v>22</v>
      </c>
      <c r="B4" s="12">
        <v>250</v>
      </c>
      <c r="C4" s="71">
        <f>+Datos!B4</f>
        <v>25000</v>
      </c>
      <c r="D4" s="72">
        <f>+C4/B4</f>
        <v>100</v>
      </c>
      <c r="E4" s="72">
        <v>10</v>
      </c>
      <c r="F4" s="73">
        <f>+D4*E4</f>
        <v>1000</v>
      </c>
    </row>
    <row r="5" spans="1:6" ht="15.75" thickTop="1" x14ac:dyDescent="0.25">
      <c r="C5" s="63"/>
    </row>
    <row r="7" spans="1:6" x14ac:dyDescent="0.25">
      <c r="A7" t="s">
        <v>155</v>
      </c>
      <c r="B7" s="6">
        <v>750</v>
      </c>
      <c r="C7" t="s">
        <v>156</v>
      </c>
    </row>
    <row r="8" spans="1:6" x14ac:dyDescent="0.25">
      <c r="B8" s="6">
        <v>800</v>
      </c>
      <c r="C8" t="s">
        <v>157</v>
      </c>
    </row>
    <row r="9" spans="1:6" x14ac:dyDescent="0.25">
      <c r="B9" s="6"/>
    </row>
    <row r="10" spans="1:6" x14ac:dyDescent="0.25">
      <c r="A10" t="s">
        <v>158</v>
      </c>
      <c r="B10" s="6">
        <v>1100</v>
      </c>
      <c r="C10" t="s">
        <v>159</v>
      </c>
    </row>
    <row r="11" spans="1:6" x14ac:dyDescent="0.25">
      <c r="B11" s="6"/>
    </row>
    <row r="12" spans="1:6" x14ac:dyDescent="0.25">
      <c r="A12" t="s">
        <v>160</v>
      </c>
      <c r="B12" s="6" t="s">
        <v>161</v>
      </c>
    </row>
    <row r="13" spans="1:6" x14ac:dyDescent="0.25">
      <c r="B13" s="6" t="s">
        <v>162</v>
      </c>
    </row>
    <row r="14" spans="1:6" x14ac:dyDescent="0.25">
      <c r="B14" s="6" t="s">
        <v>163</v>
      </c>
    </row>
    <row r="16" spans="1:6" x14ac:dyDescent="0.25">
      <c r="A16" t="s">
        <v>165</v>
      </c>
      <c r="B16" s="6" t="s">
        <v>164</v>
      </c>
    </row>
    <row r="17" spans="1:3" x14ac:dyDescent="0.25">
      <c r="B17" s="6" t="s">
        <v>166</v>
      </c>
      <c r="C17" t="s">
        <v>167</v>
      </c>
    </row>
    <row r="19" spans="1:3" x14ac:dyDescent="0.25">
      <c r="A19" t="s">
        <v>168</v>
      </c>
      <c r="B19" s="74" t="s">
        <v>169</v>
      </c>
      <c r="C19" t="s">
        <v>170</v>
      </c>
    </row>
  </sheetData>
  <mergeCells count="1">
    <mergeCell ref="A2:F2"/>
  </mergeCells>
  <phoneticPr fontId="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G6" sqref="G6"/>
    </sheetView>
  </sheetViews>
  <sheetFormatPr baseColWidth="10" defaultColWidth="11.42578125" defaultRowHeight="15" x14ac:dyDescent="0.25"/>
  <cols>
    <col min="1" max="1" width="44.28515625" style="17" bestFit="1" customWidth="1"/>
    <col min="2" max="2" width="15.42578125" style="17" customWidth="1"/>
    <col min="3" max="3" width="11.140625" style="17" bestFit="1" customWidth="1"/>
    <col min="4" max="4" width="13.140625" style="17" bestFit="1" customWidth="1"/>
    <col min="5" max="5" width="7.42578125" style="17" customWidth="1"/>
    <col min="6" max="6" width="17.140625" style="17" bestFit="1" customWidth="1"/>
    <col min="7" max="16384" width="11.42578125" style="17"/>
  </cols>
  <sheetData>
    <row r="1" spans="1:8" ht="16.5" thickTop="1" thickBot="1" x14ac:dyDescent="0.3">
      <c r="A1" s="50" t="s">
        <v>0</v>
      </c>
      <c r="B1" s="50" t="s">
        <v>1</v>
      </c>
      <c r="C1" s="50" t="s">
        <v>2</v>
      </c>
      <c r="D1" s="50" t="s">
        <v>3</v>
      </c>
      <c r="F1" s="595" t="s">
        <v>27</v>
      </c>
      <c r="G1" s="595"/>
      <c r="H1" s="50" t="s">
        <v>29</v>
      </c>
    </row>
    <row r="2" spans="1:8" ht="16.5" thickTop="1" thickBot="1" x14ac:dyDescent="0.3">
      <c r="A2" s="18" t="s">
        <v>45</v>
      </c>
      <c r="B2" s="19">
        <v>21550</v>
      </c>
      <c r="C2" s="20">
        <v>2</v>
      </c>
      <c r="D2" s="20" t="s">
        <v>4</v>
      </c>
      <c r="F2" s="18" t="s">
        <v>23</v>
      </c>
      <c r="G2" s="21">
        <v>11200</v>
      </c>
      <c r="H2" s="22" t="e">
        <f>+G2/$G$7</f>
        <v>#REF!</v>
      </c>
    </row>
    <row r="3" spans="1:8" ht="16.5" thickTop="1" thickBot="1" x14ac:dyDescent="0.3">
      <c r="A3" s="18" t="s">
        <v>5</v>
      </c>
      <c r="B3" s="19">
        <v>20800</v>
      </c>
      <c r="C3" s="20">
        <v>2</v>
      </c>
      <c r="D3" s="20" t="s">
        <v>4</v>
      </c>
      <c r="F3" s="18" t="s">
        <v>24</v>
      </c>
      <c r="G3" s="21">
        <v>48800</v>
      </c>
      <c r="H3" s="22" t="e">
        <f>+G3/$G$7</f>
        <v>#REF!</v>
      </c>
    </row>
    <row r="4" spans="1:8" ht="16.5" thickTop="1" thickBot="1" x14ac:dyDescent="0.3">
      <c r="A4" s="18" t="s">
        <v>6</v>
      </c>
      <c r="B4" s="19">
        <v>3500</v>
      </c>
      <c r="C4" s="20">
        <v>2</v>
      </c>
      <c r="D4" s="20" t="s">
        <v>7</v>
      </c>
      <c r="F4" s="18" t="s">
        <v>26</v>
      </c>
      <c r="G4" s="21">
        <f>+B12</f>
        <v>219450</v>
      </c>
      <c r="H4" s="22" t="e">
        <f>+G4/$G$7</f>
        <v>#REF!</v>
      </c>
    </row>
    <row r="5" spans="1:8" ht="16.5" thickTop="1" thickBot="1" x14ac:dyDescent="0.3">
      <c r="A5" s="18" t="s">
        <v>8</v>
      </c>
      <c r="B5" s="19">
        <v>15000</v>
      </c>
      <c r="C5" s="20">
        <v>2</v>
      </c>
      <c r="D5" s="20" t="s">
        <v>4</v>
      </c>
      <c r="F5" s="18" t="s">
        <v>28</v>
      </c>
      <c r="G5" s="21">
        <v>42100</v>
      </c>
      <c r="H5" s="22" t="e">
        <f>+G5/$G$7</f>
        <v>#REF!</v>
      </c>
    </row>
    <row r="6" spans="1:8" ht="16.5" thickTop="1" thickBot="1" x14ac:dyDescent="0.3">
      <c r="A6" s="18" t="s">
        <v>9</v>
      </c>
      <c r="B6" s="19">
        <v>1900</v>
      </c>
      <c r="C6" s="20">
        <v>3</v>
      </c>
      <c r="D6" s="20" t="s">
        <v>7</v>
      </c>
      <c r="F6" s="27" t="s">
        <v>33</v>
      </c>
      <c r="G6" s="28" t="e">
        <f>0.1*#REF!</f>
        <v>#REF!</v>
      </c>
      <c r="H6" s="29" t="e">
        <f>+G6/$G$7</f>
        <v>#REF!</v>
      </c>
    </row>
    <row r="7" spans="1:8" ht="16.5" thickTop="1" thickBot="1" x14ac:dyDescent="0.3">
      <c r="A7" s="18" t="s">
        <v>10</v>
      </c>
      <c r="B7" s="19">
        <v>4700</v>
      </c>
      <c r="C7" s="20">
        <v>2</v>
      </c>
      <c r="D7" s="20" t="s">
        <v>4</v>
      </c>
      <c r="F7" s="3" t="s">
        <v>15</v>
      </c>
      <c r="G7" s="23" t="e">
        <f>SUM(G2:G6)</f>
        <v>#REF!</v>
      </c>
      <c r="H7" s="24" t="e">
        <f>SUM(H2:H5)</f>
        <v>#REF!</v>
      </c>
    </row>
    <row r="8" spans="1:8" ht="16.5" thickTop="1" thickBot="1" x14ac:dyDescent="0.3">
      <c r="A8" s="18" t="s">
        <v>11</v>
      </c>
      <c r="B8" s="19">
        <v>32000</v>
      </c>
      <c r="C8" s="18"/>
      <c r="D8" s="20"/>
    </row>
    <row r="9" spans="1:8" ht="16.5" thickTop="1" thickBot="1" x14ac:dyDescent="0.3">
      <c r="A9" s="18" t="s">
        <v>12</v>
      </c>
      <c r="B9" s="19">
        <v>22000</v>
      </c>
      <c r="C9" s="18"/>
      <c r="D9" s="20"/>
    </row>
    <row r="10" spans="1:8" ht="16.5" thickTop="1" thickBot="1" x14ac:dyDescent="0.3">
      <c r="A10" s="18" t="s">
        <v>13</v>
      </c>
      <c r="B10" s="19">
        <v>78000</v>
      </c>
      <c r="C10" s="20">
        <v>1</v>
      </c>
      <c r="D10" s="20" t="s">
        <v>7</v>
      </c>
    </row>
    <row r="11" spans="1:8" ht="16.5" thickTop="1" thickBot="1" x14ac:dyDescent="0.3">
      <c r="A11" s="18" t="s">
        <v>14</v>
      </c>
      <c r="B11" s="19">
        <v>20000</v>
      </c>
      <c r="C11" s="20">
        <v>1</v>
      </c>
      <c r="D11" s="20" t="s">
        <v>7</v>
      </c>
    </row>
    <row r="12" spans="1:8" ht="16.5" thickTop="1" thickBot="1" x14ac:dyDescent="0.3">
      <c r="A12" s="3" t="s">
        <v>25</v>
      </c>
      <c r="B12" s="4">
        <v>219450</v>
      </c>
      <c r="C12" s="5">
        <v>15</v>
      </c>
      <c r="D12" s="3"/>
    </row>
    <row r="13" spans="1:8" ht="15.75" thickTop="1" x14ac:dyDescent="0.25"/>
    <row r="14" spans="1:8" x14ac:dyDescent="0.25">
      <c r="C14" s="17" t="s">
        <v>16</v>
      </c>
    </row>
    <row r="15" spans="1:8" x14ac:dyDescent="0.25">
      <c r="C15" s="17" t="s">
        <v>17</v>
      </c>
    </row>
  </sheetData>
  <mergeCells count="1">
    <mergeCell ref="F1:G1"/>
  </mergeCells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B20" sqref="B20"/>
    </sheetView>
  </sheetViews>
  <sheetFormatPr baseColWidth="10" defaultColWidth="11.42578125" defaultRowHeight="15" x14ac:dyDescent="0.25"/>
  <cols>
    <col min="1" max="1" width="37.5703125" bestFit="1" customWidth="1"/>
    <col min="2" max="2" width="22.42578125" bestFit="1" customWidth="1"/>
  </cols>
  <sheetData>
    <row r="1" spans="1:9" ht="15.75" thickBot="1" x14ac:dyDescent="0.3"/>
    <row r="2" spans="1:9" ht="16.5" thickTop="1" thickBot="1" x14ac:dyDescent="0.3">
      <c r="A2" s="50" t="s">
        <v>40</v>
      </c>
      <c r="B2" s="52" t="s">
        <v>554</v>
      </c>
      <c r="C2" s="53" t="s">
        <v>42</v>
      </c>
      <c r="D2" s="52" t="s">
        <v>41</v>
      </c>
    </row>
    <row r="3" spans="1:9" ht="16.5" thickTop="1" thickBot="1" x14ac:dyDescent="0.3">
      <c r="A3" s="1" t="s">
        <v>34</v>
      </c>
      <c r="B3" s="1">
        <f>400/'CASH FLOW (US$)'!$D$47</f>
        <v>40</v>
      </c>
      <c r="C3" s="1">
        <f>+B3</f>
        <v>40</v>
      </c>
      <c r="D3" s="2" t="s">
        <v>32</v>
      </c>
      <c r="G3" t="s">
        <v>35</v>
      </c>
      <c r="H3">
        <v>424</v>
      </c>
      <c r="I3" t="s">
        <v>36</v>
      </c>
    </row>
    <row r="4" spans="1:9" ht="16.5" thickTop="1" thickBot="1" x14ac:dyDescent="0.3">
      <c r="A4" s="1" t="s">
        <v>39</v>
      </c>
      <c r="B4" s="1">
        <f>480/'CASH FLOW (US$)'!$D$47</f>
        <v>48</v>
      </c>
      <c r="C4" s="1">
        <f>+C3+B4</f>
        <v>88</v>
      </c>
      <c r="D4" s="2" t="s">
        <v>32</v>
      </c>
      <c r="G4" t="s">
        <v>35</v>
      </c>
      <c r="H4">
        <v>0.9</v>
      </c>
      <c r="I4" t="s">
        <v>37</v>
      </c>
    </row>
    <row r="5" spans="1:9" ht="16.5" thickTop="1" thickBot="1" x14ac:dyDescent="0.3">
      <c r="A5" s="1" t="s">
        <v>38</v>
      </c>
      <c r="B5" s="1">
        <f>540/'CASH FLOW (US$)'!$D$47</f>
        <v>54</v>
      </c>
      <c r="C5" s="1">
        <f>+C4+B5</f>
        <v>142</v>
      </c>
      <c r="D5" s="2" t="s">
        <v>32</v>
      </c>
    </row>
    <row r="6" spans="1:9" ht="16.5" thickTop="1" thickBot="1" x14ac:dyDescent="0.3">
      <c r="A6" s="1" t="s">
        <v>43</v>
      </c>
      <c r="B6" s="25">
        <f>4.2*$H$3/$H$4/'CASH FLOW (US$)'!$D$47</f>
        <v>197.86666666666667</v>
      </c>
      <c r="C6" s="25">
        <f>+C5+B6</f>
        <v>339.86666666666667</v>
      </c>
      <c r="D6" s="26" t="s">
        <v>32</v>
      </c>
    </row>
    <row r="7" spans="1:9" ht="16.5" thickTop="1" thickBot="1" x14ac:dyDescent="0.3">
      <c r="A7" s="1" t="s">
        <v>44</v>
      </c>
      <c r="B7" s="25">
        <f>5.6*$H$3/$H$4/'CASH FLOW (US$)'!$D$47</f>
        <v>263.82222222222219</v>
      </c>
      <c r="C7" s="25">
        <f>+C6+B7</f>
        <v>603.68888888888887</v>
      </c>
      <c r="D7" s="26" t="s">
        <v>32</v>
      </c>
    </row>
    <row r="8" spans="1:9" ht="15.75" thickTop="1" x14ac:dyDescent="0.25"/>
    <row r="9" spans="1:9" x14ac:dyDescent="0.25">
      <c r="A9" t="s">
        <v>321</v>
      </c>
    </row>
    <row r="11" spans="1:9" ht="15.75" thickBot="1" x14ac:dyDescent="0.3"/>
    <row r="12" spans="1:9" ht="16.5" thickTop="1" thickBot="1" x14ac:dyDescent="0.3">
      <c r="A12" s="535" t="s">
        <v>40</v>
      </c>
      <c r="B12" s="534" t="s">
        <v>586</v>
      </c>
      <c r="C12" s="53" t="s">
        <v>42</v>
      </c>
      <c r="D12" s="534" t="s">
        <v>41</v>
      </c>
    </row>
    <row r="13" spans="1:9" ht="16.5" thickTop="1" thickBot="1" x14ac:dyDescent="0.3">
      <c r="A13" s="1" t="s">
        <v>34</v>
      </c>
      <c r="B13" s="1">
        <f>400</f>
        <v>400</v>
      </c>
      <c r="C13" s="1">
        <f>+B13</f>
        <v>400</v>
      </c>
      <c r="D13" s="189" t="s">
        <v>32</v>
      </c>
    </row>
    <row r="14" spans="1:9" ht="16.5" thickTop="1" thickBot="1" x14ac:dyDescent="0.3">
      <c r="A14" s="1" t="s">
        <v>39</v>
      </c>
      <c r="B14" s="1">
        <f>480</f>
        <v>480</v>
      </c>
      <c r="C14" s="1">
        <f>+C13+B14</f>
        <v>880</v>
      </c>
      <c r="D14" s="189" t="s">
        <v>32</v>
      </c>
    </row>
    <row r="15" spans="1:9" ht="16.5" thickTop="1" thickBot="1" x14ac:dyDescent="0.3">
      <c r="A15" s="1" t="s">
        <v>38</v>
      </c>
      <c r="B15" s="1">
        <f>540</f>
        <v>540</v>
      </c>
      <c r="C15" s="1">
        <f>+C14+B15</f>
        <v>1420</v>
      </c>
      <c r="D15" s="189" t="s">
        <v>32</v>
      </c>
    </row>
    <row r="16" spans="1:9" ht="16.5" thickTop="1" thickBot="1" x14ac:dyDescent="0.3">
      <c r="A16" s="1" t="s">
        <v>43</v>
      </c>
      <c r="B16" s="25">
        <f>4.2*$H$3/$H$4</f>
        <v>1978.6666666666667</v>
      </c>
      <c r="C16" s="25">
        <f>+C15+B16</f>
        <v>3398.666666666667</v>
      </c>
      <c r="D16" s="26" t="s">
        <v>32</v>
      </c>
    </row>
    <row r="17" spans="1:4" ht="16.5" thickTop="1" thickBot="1" x14ac:dyDescent="0.3">
      <c r="A17" s="1" t="s">
        <v>44</v>
      </c>
      <c r="B17" s="25">
        <f>5.6*$H$3/$H$4</f>
        <v>2638.2222222222217</v>
      </c>
      <c r="C17" s="25">
        <f>+C16+B17</f>
        <v>6036.8888888888887</v>
      </c>
      <c r="D17" s="26" t="s">
        <v>32</v>
      </c>
    </row>
    <row r="18" spans="1:4" ht="15.75" thickTop="1" x14ac:dyDescent="0.25"/>
  </sheetData>
  <phoneticPr fontId="9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8"/>
  <sheetViews>
    <sheetView topLeftCell="A4" workbookViewId="0">
      <selection activeCell="K16" sqref="K16"/>
    </sheetView>
  </sheetViews>
  <sheetFormatPr baseColWidth="10" defaultColWidth="11.42578125" defaultRowHeight="15" x14ac:dyDescent="0.25"/>
  <cols>
    <col min="2" max="2" width="14" bestFit="1" customWidth="1"/>
    <col min="3" max="3" width="21.85546875" customWidth="1"/>
    <col min="4" max="4" width="29.28515625" bestFit="1" customWidth="1"/>
    <col min="5" max="5" width="21.85546875" customWidth="1"/>
    <col min="6" max="6" width="10.28515625" bestFit="1" customWidth="1"/>
    <col min="7" max="7" width="7.7109375" customWidth="1"/>
    <col min="8" max="8" width="8.85546875" bestFit="1" customWidth="1"/>
    <col min="9" max="9" width="12.5703125" bestFit="1" customWidth="1"/>
    <col min="10" max="11" width="15.42578125" bestFit="1" customWidth="1"/>
    <col min="13" max="13" width="23.7109375" bestFit="1" customWidth="1"/>
    <col min="14" max="14" width="14" bestFit="1" customWidth="1"/>
  </cols>
  <sheetData>
    <row r="1" spans="3:12" ht="15.75" thickBot="1" x14ac:dyDescent="0.3"/>
    <row r="2" spans="3:12" ht="16.5" customHeight="1" thickTop="1" thickBot="1" x14ac:dyDescent="0.3">
      <c r="C2" s="610" t="s">
        <v>601</v>
      </c>
      <c r="D2" s="605" t="s">
        <v>88</v>
      </c>
      <c r="E2" s="605" t="s">
        <v>99</v>
      </c>
      <c r="F2" s="608" t="s">
        <v>89</v>
      </c>
      <c r="G2" s="612" t="s">
        <v>97</v>
      </c>
      <c r="H2" s="613"/>
      <c r="I2" s="614"/>
      <c r="J2" s="608" t="s">
        <v>286</v>
      </c>
    </row>
    <row r="3" spans="3:12" ht="16.5" thickTop="1" thickBot="1" x14ac:dyDescent="0.3">
      <c r="C3" s="611"/>
      <c r="D3" s="607"/>
      <c r="E3" s="607"/>
      <c r="F3" s="609"/>
      <c r="G3" s="54" t="s">
        <v>104</v>
      </c>
      <c r="H3" s="54" t="s">
        <v>105</v>
      </c>
      <c r="I3" s="54" t="s">
        <v>600</v>
      </c>
      <c r="J3" s="609"/>
    </row>
    <row r="4" spans="3:12" ht="16.5" customHeight="1" thickTop="1" thickBot="1" x14ac:dyDescent="0.3">
      <c r="C4" s="605" t="s">
        <v>93</v>
      </c>
      <c r="D4" s="122" t="s">
        <v>146</v>
      </c>
      <c r="E4" s="123"/>
      <c r="F4" s="124">
        <v>1</v>
      </c>
      <c r="G4" s="124"/>
      <c r="H4" s="125">
        <v>45000</v>
      </c>
      <c r="I4" s="125">
        <f>+H4*$E$24</f>
        <v>62999.999999999993</v>
      </c>
      <c r="J4" s="125">
        <f>+I4*F4*$E$23</f>
        <v>818999.99999999988</v>
      </c>
    </row>
    <row r="5" spans="3:12" ht="16.5" thickTop="1" thickBot="1" x14ac:dyDescent="0.3">
      <c r="C5" s="606"/>
      <c r="D5" s="55" t="s">
        <v>91</v>
      </c>
      <c r="E5" s="57"/>
      <c r="F5" s="49">
        <v>1</v>
      </c>
      <c r="G5" s="49"/>
      <c r="H5" s="61">
        <v>35000</v>
      </c>
      <c r="I5" s="125">
        <f t="shared" ref="I5:I16" si="0">+H5*$E$24</f>
        <v>49000</v>
      </c>
      <c r="J5" s="125">
        <f t="shared" ref="J5:J16" si="1">+I5*F5*$E$23</f>
        <v>637000</v>
      </c>
    </row>
    <row r="6" spans="3:12" ht="16.5" thickTop="1" thickBot="1" x14ac:dyDescent="0.3">
      <c r="C6" s="606"/>
      <c r="D6" s="55" t="s">
        <v>565</v>
      </c>
      <c r="E6" s="57"/>
      <c r="F6" s="49">
        <v>1</v>
      </c>
      <c r="G6" s="49"/>
      <c r="H6" s="61">
        <v>35000</v>
      </c>
      <c r="I6" s="125">
        <f t="shared" ref="I6" si="2">+H6*$E$24</f>
        <v>49000</v>
      </c>
      <c r="J6" s="125">
        <f t="shared" ref="J6" si="3">+I6*F6*$E$23</f>
        <v>637000</v>
      </c>
    </row>
    <row r="7" spans="3:12" ht="16.5" thickTop="1" thickBot="1" x14ac:dyDescent="0.3">
      <c r="C7" s="606"/>
      <c r="D7" s="55" t="s">
        <v>546</v>
      </c>
      <c r="E7" s="57"/>
      <c r="F7" s="49">
        <v>2</v>
      </c>
      <c r="G7" s="49"/>
      <c r="H7" s="61">
        <v>10000</v>
      </c>
      <c r="I7" s="125">
        <f t="shared" si="0"/>
        <v>14000</v>
      </c>
      <c r="J7" s="125">
        <f>+I7*F7*$E$23</f>
        <v>364000</v>
      </c>
    </row>
    <row r="8" spans="3:12" ht="16.5" thickTop="1" thickBot="1" x14ac:dyDescent="0.3">
      <c r="C8" s="606"/>
      <c r="D8" s="55" t="s">
        <v>293</v>
      </c>
      <c r="E8" s="57"/>
      <c r="F8" s="49">
        <v>1</v>
      </c>
      <c r="G8" s="49"/>
      <c r="H8" s="61">
        <v>20000</v>
      </c>
      <c r="I8" s="125">
        <f t="shared" si="0"/>
        <v>28000</v>
      </c>
      <c r="J8" s="125">
        <f t="shared" si="1"/>
        <v>364000</v>
      </c>
    </row>
    <row r="9" spans="3:12" ht="16.5" thickTop="1" thickBot="1" x14ac:dyDescent="0.3">
      <c r="C9" s="606"/>
      <c r="D9" s="55" t="s">
        <v>92</v>
      </c>
      <c r="E9" s="57"/>
      <c r="F9" s="49">
        <v>1</v>
      </c>
      <c r="G9" s="49"/>
      <c r="H9" s="61">
        <v>15000</v>
      </c>
      <c r="I9" s="125">
        <f t="shared" si="0"/>
        <v>21000</v>
      </c>
      <c r="J9" s="125">
        <f t="shared" si="1"/>
        <v>273000</v>
      </c>
    </row>
    <row r="10" spans="3:12" ht="16.5" thickTop="1" thickBot="1" x14ac:dyDescent="0.3">
      <c r="C10" s="606"/>
      <c r="D10" s="55" t="s">
        <v>112</v>
      </c>
      <c r="E10" s="57"/>
      <c r="F10" s="49">
        <v>2</v>
      </c>
      <c r="G10" s="49"/>
      <c r="H10" s="61">
        <v>9000</v>
      </c>
      <c r="I10" s="125">
        <f>+H10*$E$24</f>
        <v>12600</v>
      </c>
      <c r="J10" s="125">
        <f t="shared" si="1"/>
        <v>327600</v>
      </c>
    </row>
    <row r="11" spans="3:12" ht="16.5" thickTop="1" thickBot="1" x14ac:dyDescent="0.3">
      <c r="C11" s="606"/>
      <c r="D11" s="75" t="s">
        <v>308</v>
      </c>
      <c r="E11" s="76"/>
      <c r="F11" s="77">
        <f>SUM(F4:F10)</f>
        <v>9</v>
      </c>
      <c r="G11" s="77"/>
      <c r="H11" s="77"/>
      <c r="I11" s="78">
        <f>SUM(I4:I10)</f>
        <v>236600</v>
      </c>
      <c r="J11" s="78">
        <f>SUM(J4:J10)</f>
        <v>3421600</v>
      </c>
      <c r="K11" s="79"/>
      <c r="L11" s="79"/>
    </row>
    <row r="12" spans="3:12" ht="16.5" thickTop="1" thickBot="1" x14ac:dyDescent="0.3">
      <c r="C12" s="605" t="s">
        <v>94</v>
      </c>
      <c r="D12" s="108" t="s">
        <v>90</v>
      </c>
      <c r="E12" s="109" t="s">
        <v>101</v>
      </c>
      <c r="F12" s="110">
        <v>1</v>
      </c>
      <c r="G12" s="102">
        <v>39.700000000000003</v>
      </c>
      <c r="H12" s="61">
        <f>+G12*$E$21</f>
        <v>9289.8000000000011</v>
      </c>
      <c r="I12" s="125">
        <f>+H12*$E$24</f>
        <v>13005.720000000001</v>
      </c>
      <c r="J12" s="125">
        <f>+I12*F12*$E$23</f>
        <v>169074.36000000002</v>
      </c>
    </row>
    <row r="13" spans="3:12" ht="16.5" thickTop="1" thickBot="1" x14ac:dyDescent="0.3">
      <c r="C13" s="606"/>
      <c r="D13" s="108" t="s">
        <v>243</v>
      </c>
      <c r="E13" s="109" t="s">
        <v>239</v>
      </c>
      <c r="F13" s="110">
        <v>5</v>
      </c>
      <c r="G13" s="102">
        <v>36.89</v>
      </c>
      <c r="H13" s="61">
        <f>+G13*$E$21</f>
        <v>8632.26</v>
      </c>
      <c r="I13" s="125">
        <f t="shared" si="0"/>
        <v>12085.163999999999</v>
      </c>
      <c r="J13" s="125">
        <f>+I13*F13*$E$23</f>
        <v>785535.65999999992</v>
      </c>
    </row>
    <row r="14" spans="3:12" ht="16.5" thickTop="1" thickBot="1" x14ac:dyDescent="0.3">
      <c r="C14" s="606"/>
      <c r="D14" s="108" t="s">
        <v>244</v>
      </c>
      <c r="E14" s="109" t="s">
        <v>101</v>
      </c>
      <c r="F14" s="110">
        <v>3</v>
      </c>
      <c r="G14" s="102">
        <v>32.659999999999997</v>
      </c>
      <c r="H14" s="61">
        <f>+G14*$E$21</f>
        <v>7642.44</v>
      </c>
      <c r="I14" s="125">
        <f t="shared" si="0"/>
        <v>10699.415999999999</v>
      </c>
      <c r="J14" s="125">
        <f t="shared" si="1"/>
        <v>417277.22399999999</v>
      </c>
    </row>
    <row r="15" spans="3:12" ht="16.5" thickTop="1" thickBot="1" x14ac:dyDescent="0.3">
      <c r="C15" s="606"/>
      <c r="D15" s="108" t="s">
        <v>96</v>
      </c>
      <c r="E15" s="109" t="s">
        <v>100</v>
      </c>
      <c r="F15" s="110">
        <v>7</v>
      </c>
      <c r="G15" s="102">
        <v>32.17</v>
      </c>
      <c r="H15" s="61">
        <f>+G15*$E$21</f>
        <v>7527.7800000000007</v>
      </c>
      <c r="I15" s="125">
        <f t="shared" si="0"/>
        <v>10538.892</v>
      </c>
      <c r="J15" s="125">
        <f t="shared" si="1"/>
        <v>959039.17200000002</v>
      </c>
    </row>
    <row r="16" spans="3:12" ht="16.5" thickTop="1" thickBot="1" x14ac:dyDescent="0.3">
      <c r="C16" s="606"/>
      <c r="D16" s="111" t="s">
        <v>95</v>
      </c>
      <c r="E16" s="109" t="s">
        <v>239</v>
      </c>
      <c r="F16" s="110">
        <v>2</v>
      </c>
      <c r="G16" s="102">
        <v>36.89</v>
      </c>
      <c r="H16" s="61">
        <f>+G16*$E$21</f>
        <v>8632.26</v>
      </c>
      <c r="I16" s="125">
        <f t="shared" si="0"/>
        <v>12085.163999999999</v>
      </c>
      <c r="J16" s="125">
        <f t="shared" si="1"/>
        <v>314214.26399999997</v>
      </c>
    </row>
    <row r="17" spans="1:10" ht="16.5" thickTop="1" thickBot="1" x14ac:dyDescent="0.3">
      <c r="C17" s="607"/>
      <c r="D17" s="75" t="s">
        <v>309</v>
      </c>
      <c r="E17" s="58"/>
      <c r="F17" s="56">
        <f>SUM(F12:F16)</f>
        <v>18</v>
      </c>
      <c r="G17" s="56"/>
      <c r="H17" s="56"/>
      <c r="I17" s="78">
        <f>SUM(I12:I16)</f>
        <v>58414.355999999992</v>
      </c>
      <c r="J17" s="78">
        <f>SUM(J12:J16)</f>
        <v>2645140.6800000002</v>
      </c>
    </row>
    <row r="18" spans="1:10" ht="16.5" thickTop="1" thickBot="1" x14ac:dyDescent="0.3">
      <c r="C18" s="134"/>
      <c r="D18" s="135" t="s">
        <v>346</v>
      </c>
      <c r="E18" s="136"/>
      <c r="F18" s="137">
        <f>+F11+F17</f>
        <v>27</v>
      </c>
      <c r="G18" s="137"/>
      <c r="H18" s="137"/>
      <c r="I18" s="138">
        <f>+I11+I17</f>
        <v>295014.35599999997</v>
      </c>
      <c r="J18" s="138">
        <f>+J11+J17</f>
        <v>6066740.6799999997</v>
      </c>
    </row>
    <row r="19" spans="1:10" ht="16.5" thickTop="1" thickBot="1" x14ac:dyDescent="0.3"/>
    <row r="20" spans="1:10" ht="16.5" thickTop="1" thickBot="1" x14ac:dyDescent="0.3">
      <c r="D20" s="14" t="s">
        <v>98</v>
      </c>
      <c r="E20" s="59">
        <f>+Datos!E21</f>
        <v>2106</v>
      </c>
      <c r="I20" s="63"/>
      <c r="J20" s="63">
        <f>+J18/2</f>
        <v>3033370.34</v>
      </c>
    </row>
    <row r="21" spans="1:10" ht="16.5" thickTop="1" thickBot="1" x14ac:dyDescent="0.3">
      <c r="D21" s="14" t="s">
        <v>103</v>
      </c>
      <c r="E21" s="59">
        <f>+E20/Datos!$E$17</f>
        <v>234</v>
      </c>
      <c r="J21" t="s">
        <v>171</v>
      </c>
    </row>
    <row r="22" spans="1:10" ht="16.5" thickTop="1" thickBot="1" x14ac:dyDescent="0.3">
      <c r="D22" s="14" t="s">
        <v>102</v>
      </c>
      <c r="E22" s="60">
        <v>10</v>
      </c>
      <c r="J22" t="s">
        <v>172</v>
      </c>
    </row>
    <row r="23" spans="1:10" ht="16.5" thickTop="1" thickBot="1" x14ac:dyDescent="0.3">
      <c r="D23" s="14" t="s">
        <v>599</v>
      </c>
      <c r="E23" s="59">
        <v>13</v>
      </c>
    </row>
    <row r="24" spans="1:10" ht="16.5" thickTop="1" thickBot="1" x14ac:dyDescent="0.3">
      <c r="D24" s="14" t="s">
        <v>138</v>
      </c>
      <c r="E24" s="60">
        <v>1.4</v>
      </c>
    </row>
    <row r="25" spans="1:10" ht="15.75" thickTop="1" x14ac:dyDescent="0.25"/>
    <row r="28" spans="1:10" ht="15.75" thickBot="1" x14ac:dyDescent="0.3">
      <c r="B28" t="s">
        <v>195</v>
      </c>
    </row>
    <row r="29" spans="1:10" ht="16.5" thickTop="1" thickBot="1" x14ac:dyDescent="0.3">
      <c r="A29" s="95"/>
      <c r="B29" s="95" t="s">
        <v>230</v>
      </c>
      <c r="C29" s="96" t="s">
        <v>231</v>
      </c>
      <c r="D29" s="96" t="s">
        <v>232</v>
      </c>
      <c r="E29" s="96" t="s">
        <v>238</v>
      </c>
      <c r="F29" s="96" t="s">
        <v>108</v>
      </c>
    </row>
    <row r="30" spans="1:10" ht="30" thickTop="1" thickBot="1" x14ac:dyDescent="0.3">
      <c r="A30" s="599" t="s">
        <v>236</v>
      </c>
      <c r="B30" s="8">
        <v>1</v>
      </c>
      <c r="C30" s="90" t="s">
        <v>196</v>
      </c>
      <c r="D30" s="103" t="s">
        <v>233</v>
      </c>
      <c r="E30" s="103" t="s">
        <v>239</v>
      </c>
      <c r="F30" s="103">
        <v>1</v>
      </c>
    </row>
    <row r="31" spans="1:10" ht="30" thickTop="1" thickBot="1" x14ac:dyDescent="0.3">
      <c r="A31" s="599"/>
      <c r="B31" s="8">
        <v>2</v>
      </c>
      <c r="C31" s="90" t="s">
        <v>198</v>
      </c>
      <c r="D31" s="12" t="s">
        <v>202</v>
      </c>
      <c r="E31" s="12" t="s">
        <v>202</v>
      </c>
      <c r="F31" s="12"/>
    </row>
    <row r="32" spans="1:10" ht="30" thickTop="1" thickBot="1" x14ac:dyDescent="0.3">
      <c r="A32" s="599"/>
      <c r="B32" s="8">
        <v>3</v>
      </c>
      <c r="C32" s="90" t="s">
        <v>198</v>
      </c>
      <c r="D32" s="12" t="s">
        <v>202</v>
      </c>
      <c r="E32" s="12" t="s">
        <v>202</v>
      </c>
      <c r="F32" s="12"/>
    </row>
    <row r="33" spans="1:6" ht="30" thickTop="1" thickBot="1" x14ac:dyDescent="0.3">
      <c r="A33" s="599"/>
      <c r="B33" s="8">
        <v>4</v>
      </c>
      <c r="C33" s="90" t="s">
        <v>199</v>
      </c>
      <c r="D33" s="12" t="s">
        <v>202</v>
      </c>
      <c r="E33" s="12" t="s">
        <v>202</v>
      </c>
      <c r="F33" s="12"/>
    </row>
    <row r="34" spans="1:6" ht="30" thickTop="1" thickBot="1" x14ac:dyDescent="0.3">
      <c r="A34" s="599"/>
      <c r="B34" s="8">
        <v>5</v>
      </c>
      <c r="C34" s="90" t="s">
        <v>197</v>
      </c>
      <c r="D34" s="104" t="s">
        <v>207</v>
      </c>
      <c r="E34" s="104" t="s">
        <v>239</v>
      </c>
      <c r="F34" s="104">
        <v>1</v>
      </c>
    </row>
    <row r="35" spans="1:6" ht="58.5" thickTop="1" thickBot="1" x14ac:dyDescent="0.3">
      <c r="A35" s="599"/>
      <c r="B35" s="8">
        <v>6</v>
      </c>
      <c r="C35" s="90" t="s">
        <v>240</v>
      </c>
      <c r="D35" s="103" t="s">
        <v>242</v>
      </c>
      <c r="E35" s="103" t="s">
        <v>239</v>
      </c>
      <c r="F35" s="103"/>
    </row>
    <row r="36" spans="1:6" ht="30" thickTop="1" thickBot="1" x14ac:dyDescent="0.3">
      <c r="A36" s="599"/>
      <c r="B36" s="8">
        <v>7</v>
      </c>
      <c r="C36" s="90" t="s">
        <v>241</v>
      </c>
      <c r="D36" s="105" t="s">
        <v>234</v>
      </c>
      <c r="E36" s="105" t="s">
        <v>101</v>
      </c>
      <c r="F36" s="106">
        <v>1</v>
      </c>
    </row>
    <row r="37" spans="1:6" ht="44.25" thickTop="1" thickBot="1" x14ac:dyDescent="0.3">
      <c r="A37" s="599"/>
      <c r="B37" s="8">
        <v>8</v>
      </c>
      <c r="C37" s="90" t="s">
        <v>200</v>
      </c>
      <c r="D37" s="107" t="s">
        <v>100</v>
      </c>
      <c r="E37" s="107" t="s">
        <v>100</v>
      </c>
      <c r="F37" s="107">
        <v>1</v>
      </c>
    </row>
    <row r="38" spans="1:6" ht="44.25" thickTop="1" thickBot="1" x14ac:dyDescent="0.3">
      <c r="A38" s="599"/>
      <c r="B38" s="8">
        <v>9</v>
      </c>
      <c r="C38" s="90" t="s">
        <v>201</v>
      </c>
      <c r="D38" s="12" t="s">
        <v>202</v>
      </c>
      <c r="E38" s="93" t="s">
        <v>202</v>
      </c>
      <c r="F38" s="12"/>
    </row>
    <row r="39" spans="1:6" ht="45" customHeight="1" thickTop="1" thickBot="1" x14ac:dyDescent="0.3">
      <c r="A39" s="599"/>
      <c r="B39" s="597">
        <v>10</v>
      </c>
      <c r="C39" s="601" t="s">
        <v>203</v>
      </c>
      <c r="D39" s="105" t="s">
        <v>234</v>
      </c>
      <c r="E39" s="105" t="s">
        <v>101</v>
      </c>
      <c r="F39" s="106">
        <v>1</v>
      </c>
    </row>
    <row r="40" spans="1:6" ht="16.5" thickTop="1" thickBot="1" x14ac:dyDescent="0.3">
      <c r="A40" s="599"/>
      <c r="B40" s="597"/>
      <c r="C40" s="601"/>
      <c r="D40" s="107" t="s">
        <v>204</v>
      </c>
      <c r="E40" s="107" t="s">
        <v>100</v>
      </c>
      <c r="F40" s="107">
        <v>1</v>
      </c>
    </row>
    <row r="41" spans="1:6" ht="46.5" thickTop="1" thickBot="1" x14ac:dyDescent="0.3">
      <c r="A41" s="599"/>
      <c r="B41" s="8">
        <v>11</v>
      </c>
      <c r="C41" s="92" t="s">
        <v>205</v>
      </c>
      <c r="D41" s="12" t="s">
        <v>202</v>
      </c>
      <c r="E41" s="93" t="s">
        <v>202</v>
      </c>
      <c r="F41" s="12"/>
    </row>
    <row r="42" spans="1:6" ht="31.5" thickTop="1" thickBot="1" x14ac:dyDescent="0.3">
      <c r="A42" s="599"/>
      <c r="B42" s="8">
        <v>12</v>
      </c>
      <c r="C42" s="92" t="s">
        <v>206</v>
      </c>
      <c r="D42" s="104" t="s">
        <v>207</v>
      </c>
      <c r="E42" s="104" t="s">
        <v>239</v>
      </c>
      <c r="F42" s="104">
        <v>2</v>
      </c>
    </row>
    <row r="43" spans="1:6" ht="31.5" thickTop="1" thickBot="1" x14ac:dyDescent="0.3">
      <c r="A43" s="599"/>
      <c r="B43" s="8">
        <v>13</v>
      </c>
      <c r="C43" s="92" t="s">
        <v>208</v>
      </c>
      <c r="D43" s="12" t="s">
        <v>202</v>
      </c>
      <c r="E43" s="93" t="s">
        <v>202</v>
      </c>
      <c r="F43" s="12"/>
    </row>
    <row r="44" spans="1:6" ht="31.5" thickTop="1" thickBot="1" x14ac:dyDescent="0.3">
      <c r="A44" s="599"/>
      <c r="B44" s="8">
        <v>14</v>
      </c>
      <c r="C44" s="92" t="s">
        <v>209</v>
      </c>
      <c r="D44" s="107" t="s">
        <v>210</v>
      </c>
      <c r="E44" s="107" t="s">
        <v>100</v>
      </c>
      <c r="F44" s="107">
        <v>3</v>
      </c>
    </row>
    <row r="45" spans="1:6" ht="61.5" thickTop="1" thickBot="1" x14ac:dyDescent="0.3">
      <c r="A45" s="599"/>
      <c r="B45" s="8">
        <v>15</v>
      </c>
      <c r="C45" s="92" t="s">
        <v>211</v>
      </c>
      <c r="D45" s="103" t="s">
        <v>233</v>
      </c>
      <c r="E45" s="103" t="s">
        <v>239</v>
      </c>
      <c r="F45" s="103">
        <v>1</v>
      </c>
    </row>
    <row r="46" spans="1:6" ht="46.5" thickTop="1" thickBot="1" x14ac:dyDescent="0.3">
      <c r="A46" s="599"/>
      <c r="B46" s="8">
        <v>16</v>
      </c>
      <c r="C46" s="92" t="s">
        <v>212</v>
      </c>
      <c r="D46" s="12" t="s">
        <v>202</v>
      </c>
      <c r="E46" s="93" t="s">
        <v>202</v>
      </c>
      <c r="F46" s="12"/>
    </row>
    <row r="47" spans="1:6" ht="16.5" thickTop="1" thickBot="1" x14ac:dyDescent="0.3">
      <c r="A47" s="599"/>
      <c r="B47" s="8">
        <v>17</v>
      </c>
      <c r="C47" s="92" t="s">
        <v>213</v>
      </c>
      <c r="D47" s="12" t="s">
        <v>202</v>
      </c>
      <c r="E47" s="93" t="s">
        <v>202</v>
      </c>
      <c r="F47" s="12"/>
    </row>
    <row r="48" spans="1:6" ht="31.5" thickTop="1" thickBot="1" x14ac:dyDescent="0.3">
      <c r="A48" s="599"/>
      <c r="B48" s="8">
        <v>18</v>
      </c>
      <c r="C48" s="92" t="s">
        <v>214</v>
      </c>
      <c r="D48" s="107" t="s">
        <v>210</v>
      </c>
      <c r="E48" s="107" t="s">
        <v>100</v>
      </c>
      <c r="F48" s="107">
        <v>1</v>
      </c>
    </row>
    <row r="49" spans="1:6" ht="45" customHeight="1" thickTop="1" thickBot="1" x14ac:dyDescent="0.3">
      <c r="A49" s="599"/>
      <c r="B49" s="8">
        <v>19</v>
      </c>
      <c r="C49" s="601" t="s">
        <v>215</v>
      </c>
      <c r="D49" s="602" t="s">
        <v>207</v>
      </c>
      <c r="E49" s="602" t="s">
        <v>239</v>
      </c>
      <c r="F49" s="604">
        <v>2</v>
      </c>
    </row>
    <row r="50" spans="1:6" ht="16.5" thickTop="1" thickBot="1" x14ac:dyDescent="0.3">
      <c r="A50" s="599"/>
      <c r="B50" s="8">
        <v>20</v>
      </c>
      <c r="C50" s="601"/>
      <c r="D50" s="603"/>
      <c r="E50" s="603"/>
      <c r="F50" s="604"/>
    </row>
    <row r="51" spans="1:6" ht="46.5" thickTop="1" thickBot="1" x14ac:dyDescent="0.3">
      <c r="A51" s="599"/>
      <c r="B51" s="8">
        <v>21</v>
      </c>
      <c r="C51" s="92" t="s">
        <v>216</v>
      </c>
      <c r="D51" s="12" t="s">
        <v>202</v>
      </c>
      <c r="E51" s="93" t="s">
        <v>202</v>
      </c>
      <c r="F51" s="97"/>
    </row>
    <row r="52" spans="1:6" ht="45" customHeight="1" thickTop="1" thickBot="1" x14ac:dyDescent="0.3">
      <c r="A52" s="599"/>
      <c r="B52" s="597">
        <v>22</v>
      </c>
      <c r="C52" s="598" t="s">
        <v>217</v>
      </c>
      <c r="D52" s="105" t="s">
        <v>234</v>
      </c>
      <c r="E52" s="105" t="s">
        <v>101</v>
      </c>
      <c r="F52" s="106">
        <v>1</v>
      </c>
    </row>
    <row r="53" spans="1:6" ht="16.5" thickTop="1" thickBot="1" x14ac:dyDescent="0.3">
      <c r="A53" s="599"/>
      <c r="B53" s="597"/>
      <c r="C53" s="598"/>
      <c r="D53" s="107" t="s">
        <v>204</v>
      </c>
      <c r="E53" s="107" t="s">
        <v>100</v>
      </c>
      <c r="F53" s="107">
        <v>1</v>
      </c>
    </row>
    <row r="54" spans="1:6" ht="46.5" thickTop="1" thickBot="1" x14ac:dyDescent="0.3">
      <c r="A54" s="599"/>
      <c r="B54" s="8">
        <v>23</v>
      </c>
      <c r="C54" s="94" t="s">
        <v>218</v>
      </c>
      <c r="D54" s="12" t="s">
        <v>202</v>
      </c>
      <c r="E54" s="93" t="s">
        <v>202</v>
      </c>
      <c r="F54" s="12"/>
    </row>
    <row r="55" spans="1:6" ht="61.5" thickTop="1" thickBot="1" x14ac:dyDescent="0.3">
      <c r="A55" s="599"/>
      <c r="B55" s="8">
        <v>24</v>
      </c>
      <c r="C55" s="94" t="s">
        <v>219</v>
      </c>
      <c r="D55" s="8" t="s">
        <v>202</v>
      </c>
      <c r="E55" s="91" t="s">
        <v>202</v>
      </c>
      <c r="F55" s="30"/>
    </row>
    <row r="56" spans="1:6" ht="16.5" thickTop="1" thickBot="1" x14ac:dyDescent="0.3">
      <c r="A56" s="98"/>
      <c r="B56" s="99"/>
      <c r="C56" s="100"/>
      <c r="D56" s="101" t="s">
        <v>237</v>
      </c>
      <c r="E56" s="101"/>
      <c r="F56" s="101">
        <f>SUM(F30:F55)</f>
        <v>17</v>
      </c>
    </row>
    <row r="57" spans="1:6" ht="16.5" thickTop="1" thickBot="1" x14ac:dyDescent="0.3">
      <c r="B57" s="87"/>
      <c r="C57" s="88"/>
      <c r="D57" s="89"/>
    </row>
    <row r="58" spans="1:6" ht="46.5" thickTop="1" thickBot="1" x14ac:dyDescent="0.3">
      <c r="A58" s="600" t="s">
        <v>235</v>
      </c>
      <c r="B58" s="8">
        <v>25</v>
      </c>
      <c r="C58" s="94" t="s">
        <v>220</v>
      </c>
      <c r="D58" s="8" t="s">
        <v>202</v>
      </c>
      <c r="E58" s="1"/>
    </row>
    <row r="59" spans="1:6" ht="16.5" thickTop="1" thickBot="1" x14ac:dyDescent="0.3">
      <c r="A59" s="600"/>
      <c r="B59" s="8">
        <v>26</v>
      </c>
      <c r="C59" s="94" t="s">
        <v>221</v>
      </c>
      <c r="D59" s="8"/>
      <c r="E59" s="1"/>
    </row>
    <row r="60" spans="1:6" ht="46.5" thickTop="1" thickBot="1" x14ac:dyDescent="0.3">
      <c r="A60" s="600"/>
      <c r="B60" s="8">
        <v>27</v>
      </c>
      <c r="C60" s="94" t="s">
        <v>222</v>
      </c>
      <c r="D60" s="8"/>
      <c r="E60" s="1"/>
    </row>
    <row r="61" spans="1:6" ht="31.5" thickTop="1" thickBot="1" x14ac:dyDescent="0.3">
      <c r="A61" s="600"/>
      <c r="B61" s="8">
        <v>28</v>
      </c>
      <c r="C61" s="94" t="s">
        <v>224</v>
      </c>
      <c r="D61" s="8"/>
      <c r="E61" s="1"/>
    </row>
    <row r="62" spans="1:6" ht="31.5" thickTop="1" thickBot="1" x14ac:dyDescent="0.3">
      <c r="A62" s="600"/>
      <c r="B62" s="8">
        <v>29</v>
      </c>
      <c r="C62" s="94" t="s">
        <v>225</v>
      </c>
      <c r="D62" s="8"/>
      <c r="E62" s="1"/>
    </row>
    <row r="63" spans="1:6" ht="31.5" thickTop="1" thickBot="1" x14ac:dyDescent="0.3">
      <c r="A63" s="600"/>
      <c r="B63" s="8">
        <v>30</v>
      </c>
      <c r="C63" s="94" t="s">
        <v>226</v>
      </c>
      <c r="D63" s="8"/>
      <c r="E63" s="1"/>
    </row>
    <row r="64" spans="1:6" ht="61.5" thickTop="1" thickBot="1" x14ac:dyDescent="0.3">
      <c r="A64" s="600"/>
      <c r="B64" s="8">
        <v>31</v>
      </c>
      <c r="C64" s="94" t="s">
        <v>227</v>
      </c>
      <c r="D64" s="8"/>
      <c r="E64" s="1"/>
    </row>
    <row r="65" spans="1:5" ht="46.5" thickTop="1" thickBot="1" x14ac:dyDescent="0.3">
      <c r="A65" s="600"/>
      <c r="B65" s="8">
        <v>32</v>
      </c>
      <c r="C65" s="94" t="s">
        <v>228</v>
      </c>
      <c r="D65" s="8"/>
      <c r="E65" s="1"/>
    </row>
    <row r="66" spans="1:5" ht="46.5" thickTop="1" thickBot="1" x14ac:dyDescent="0.3">
      <c r="A66" s="600"/>
      <c r="B66" s="8">
        <v>33</v>
      </c>
      <c r="C66" s="94" t="s">
        <v>229</v>
      </c>
      <c r="D66" s="8"/>
      <c r="E66" s="1"/>
    </row>
    <row r="67" spans="1:5" ht="46.5" thickTop="1" thickBot="1" x14ac:dyDescent="0.3">
      <c r="A67" s="600"/>
      <c r="B67" s="8">
        <v>33</v>
      </c>
      <c r="C67" s="94" t="s">
        <v>223</v>
      </c>
      <c r="D67" s="8"/>
      <c r="E67" s="1"/>
    </row>
    <row r="68" spans="1:5" ht="15.75" thickTop="1" x14ac:dyDescent="0.25">
      <c r="C68" s="86"/>
    </row>
  </sheetData>
  <autoFilter ref="B29:F56"/>
  <mergeCells count="18">
    <mergeCell ref="J2:J3"/>
    <mergeCell ref="C2:C3"/>
    <mergeCell ref="D2:D3"/>
    <mergeCell ref="E2:E3"/>
    <mergeCell ref="F2:F3"/>
    <mergeCell ref="G2:I2"/>
    <mergeCell ref="D49:D50"/>
    <mergeCell ref="F49:F50"/>
    <mergeCell ref="C12:C17"/>
    <mergeCell ref="C4:C11"/>
    <mergeCell ref="E49:E50"/>
    <mergeCell ref="B52:B53"/>
    <mergeCell ref="C52:C53"/>
    <mergeCell ref="A30:A55"/>
    <mergeCell ref="A58:A67"/>
    <mergeCell ref="C39:C40"/>
    <mergeCell ref="B39:B40"/>
    <mergeCell ref="C49:C50"/>
  </mergeCells>
  <phoneticPr fontId="9" type="noConversion"/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3"/>
  <sheetViews>
    <sheetView workbookViewId="0">
      <selection activeCell="C9" sqref="C9:C11"/>
    </sheetView>
  </sheetViews>
  <sheetFormatPr baseColWidth="10" defaultColWidth="11.42578125" defaultRowHeight="15" x14ac:dyDescent="0.25"/>
  <cols>
    <col min="2" max="2" width="26.5703125" bestFit="1" customWidth="1"/>
    <col min="3" max="3" width="13" bestFit="1" customWidth="1"/>
    <col min="4" max="4" width="39.140625" bestFit="1" customWidth="1"/>
  </cols>
  <sheetData>
    <row r="1" spans="2:4" ht="15.75" thickBot="1" x14ac:dyDescent="0.3"/>
    <row r="2" spans="2:4" ht="16.5" thickTop="1" thickBot="1" x14ac:dyDescent="0.3">
      <c r="B2" s="591" t="s">
        <v>263</v>
      </c>
      <c r="C2" s="596"/>
      <c r="D2" s="592"/>
    </row>
    <row r="3" spans="2:4" ht="16.5" thickTop="1" thickBot="1" x14ac:dyDescent="0.3">
      <c r="B3" s="65" t="s">
        <v>114</v>
      </c>
      <c r="C3" s="65" t="s">
        <v>116</v>
      </c>
      <c r="D3" s="65" t="s">
        <v>118</v>
      </c>
    </row>
    <row r="4" spans="2:4" ht="16.5" thickTop="1" thickBot="1" x14ac:dyDescent="0.3">
      <c r="B4" s="1" t="s">
        <v>115</v>
      </c>
      <c r="C4" s="13">
        <f>+'Mano de obra'!I17*6</f>
        <v>350486.13599999994</v>
      </c>
      <c r="D4" s="1" t="s">
        <v>119</v>
      </c>
    </row>
    <row r="5" spans="2:4" ht="16.5" thickTop="1" thickBot="1" x14ac:dyDescent="0.3">
      <c r="B5" s="1" t="s">
        <v>117</v>
      </c>
      <c r="C5" s="1"/>
      <c r="D5" s="1"/>
    </row>
    <row r="6" spans="2:4" ht="16.5" thickTop="1" thickBot="1" x14ac:dyDescent="0.3">
      <c r="B6" s="62" t="s">
        <v>121</v>
      </c>
      <c r="C6" s="13">
        <f>(+Datos!B4*0.15/11)*2*Datos!B15</f>
        <v>298227.27272727276</v>
      </c>
      <c r="D6" s="1" t="s">
        <v>120</v>
      </c>
    </row>
    <row r="7" spans="2:4" ht="16.5" thickTop="1" thickBot="1" x14ac:dyDescent="0.3">
      <c r="B7" s="62" t="s">
        <v>122</v>
      </c>
      <c r="C7" s="13">
        <f>29*8*40*0.8</f>
        <v>7424</v>
      </c>
      <c r="D7" s="1" t="s">
        <v>123</v>
      </c>
    </row>
    <row r="8" spans="2:4" ht="16.5" thickTop="1" thickBot="1" x14ac:dyDescent="0.3">
      <c r="B8" s="62" t="s">
        <v>124</v>
      </c>
      <c r="C8" s="13">
        <f>50*40*0.25</f>
        <v>500</v>
      </c>
      <c r="D8" s="1" t="s">
        <v>125</v>
      </c>
    </row>
    <row r="9" spans="2:4" ht="16.5" thickTop="1" thickBot="1" x14ac:dyDescent="0.3">
      <c r="B9" s="62" t="s">
        <v>126</v>
      </c>
      <c r="C9" s="13">
        <f>545*4</f>
        <v>2180</v>
      </c>
      <c r="D9" s="1"/>
    </row>
    <row r="10" spans="2:4" ht="16.5" thickTop="1" thickBot="1" x14ac:dyDescent="0.3">
      <c r="B10" s="62" t="s">
        <v>127</v>
      </c>
      <c r="C10" s="13">
        <v>500</v>
      </c>
      <c r="D10" s="1"/>
    </row>
    <row r="11" spans="2:4" ht="16.5" thickTop="1" thickBot="1" x14ac:dyDescent="0.3">
      <c r="B11" s="62" t="s">
        <v>49</v>
      </c>
      <c r="C11" s="13">
        <v>3300</v>
      </c>
      <c r="D11" s="1"/>
    </row>
    <row r="12" spans="2:4" ht="16.5" thickTop="1" thickBot="1" x14ac:dyDescent="0.3">
      <c r="B12" s="40" t="s">
        <v>154</v>
      </c>
      <c r="C12" s="68">
        <f>SUM(C4:C11)</f>
        <v>662617.40872727265</v>
      </c>
      <c r="D12" s="40"/>
    </row>
    <row r="13" spans="2:4" ht="15.75" thickTop="1" x14ac:dyDescent="0.25"/>
  </sheetData>
  <mergeCells count="1">
    <mergeCell ref="B2:D2"/>
  </mergeCells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4"/>
  <sheetViews>
    <sheetView topLeftCell="A13" workbookViewId="0">
      <selection activeCell="C30" sqref="C30"/>
    </sheetView>
  </sheetViews>
  <sheetFormatPr baseColWidth="10" defaultRowHeight="15" x14ac:dyDescent="0.25"/>
  <cols>
    <col min="2" max="2" width="43.5703125" bestFit="1" customWidth="1"/>
    <col min="3" max="6" width="11" bestFit="1" customWidth="1"/>
    <col min="7" max="7" width="11" customWidth="1"/>
  </cols>
  <sheetData>
    <row r="1" spans="2:7" x14ac:dyDescent="0.25">
      <c r="B1" s="151"/>
      <c r="C1" s="615" t="s">
        <v>448</v>
      </c>
      <c r="D1" s="615"/>
      <c r="E1" s="615"/>
      <c r="F1" s="615"/>
      <c r="G1" s="586"/>
    </row>
    <row r="2" spans="2:7" x14ac:dyDescent="0.25">
      <c r="B2" s="152"/>
      <c r="C2" s="153" t="s">
        <v>364</v>
      </c>
      <c r="D2" s="153" t="s">
        <v>183</v>
      </c>
      <c r="E2" s="153" t="s">
        <v>184</v>
      </c>
      <c r="F2" s="153" t="s">
        <v>185</v>
      </c>
      <c r="G2" s="153" t="s">
        <v>186</v>
      </c>
    </row>
    <row r="3" spans="2:7" x14ac:dyDescent="0.25">
      <c r="B3" s="479" t="s">
        <v>365</v>
      </c>
      <c r="C3" s="482">
        <f>+'CASH FLOW (US$)'!E61</f>
        <v>223.9144</v>
      </c>
      <c r="D3" s="482">
        <f>+'CASH FLOW (US$)'!F61</f>
        <v>223.91439999999997</v>
      </c>
      <c r="E3" s="482">
        <f>+'CASH FLOW (US$)'!G61</f>
        <v>223.91439999999997</v>
      </c>
      <c r="F3" s="482">
        <f>+'CASH FLOW (US$)'!H61</f>
        <v>223.91439999999997</v>
      </c>
      <c r="G3" s="482">
        <f>+'CASH FLOW (US$)'!I61</f>
        <v>223.91439999999997</v>
      </c>
    </row>
    <row r="4" spans="2:7" x14ac:dyDescent="0.25">
      <c r="B4" s="145"/>
      <c r="C4" s="146"/>
      <c r="D4" s="146"/>
      <c r="E4" s="146"/>
      <c r="F4" s="146"/>
      <c r="G4" s="146"/>
    </row>
    <row r="5" spans="2:7" x14ac:dyDescent="0.25">
      <c r="B5" s="479" t="s">
        <v>361</v>
      </c>
      <c r="C5" s="482"/>
      <c r="D5" s="482"/>
      <c r="E5" s="482"/>
      <c r="F5" s="482"/>
      <c r="G5" s="482"/>
    </row>
    <row r="6" spans="2:7" x14ac:dyDescent="0.25">
      <c r="B6" s="147" t="s">
        <v>363</v>
      </c>
      <c r="C6" s="410">
        <f>+'CASH FLOW (US$)'!E90</f>
        <v>118</v>
      </c>
      <c r="D6" s="410">
        <f>+'CASH FLOW (US$)'!F90</f>
        <v>107.27272727272725</v>
      </c>
      <c r="E6" s="410">
        <f>+'CASH FLOW (US$)'!G90</f>
        <v>98.333333333333314</v>
      </c>
      <c r="F6" s="410">
        <f>+'CASH FLOW (US$)'!H90</f>
        <v>95.161290322580641</v>
      </c>
      <c r="G6" s="410">
        <f>+'CASH FLOW (US$)'!I90</f>
        <v>95.161290322580641</v>
      </c>
    </row>
    <row r="7" spans="2:7" x14ac:dyDescent="0.25">
      <c r="B7" s="147" t="s">
        <v>359</v>
      </c>
      <c r="C7" s="410">
        <f>+'CASH FLOW (US$)'!E97</f>
        <v>21.161125440000003</v>
      </c>
      <c r="D7" s="410">
        <f>+'CASH FLOW (US$)'!F97</f>
        <v>19.237386763636362</v>
      </c>
      <c r="E7" s="410">
        <f>+'CASH FLOW (US$)'!G97</f>
        <v>17.634271200000001</v>
      </c>
      <c r="F7" s="410">
        <f>+'CASH FLOW (US$)'!H97</f>
        <v>17.065423741935483</v>
      </c>
      <c r="G7" s="410">
        <f>+'CASH FLOW (US$)'!I97</f>
        <v>17.065423741935483</v>
      </c>
    </row>
    <row r="8" spans="2:7" x14ac:dyDescent="0.25">
      <c r="B8" s="147" t="s">
        <v>352</v>
      </c>
      <c r="C8" s="148">
        <f>+'CASH FLOW (US$)'!E111</f>
        <v>0.16</v>
      </c>
      <c r="D8" s="148">
        <f>+'CASH FLOW (US$)'!F111</f>
        <v>0.14545454545454545</v>
      </c>
      <c r="E8" s="148">
        <f>+'CASH FLOW (US$)'!G111</f>
        <v>0.1333333333333333</v>
      </c>
      <c r="F8" s="148">
        <f>+'CASH FLOW (US$)'!H111</f>
        <v>0.12903225806451613</v>
      </c>
      <c r="G8" s="148">
        <f>+'CASH FLOW (US$)'!I111</f>
        <v>0.12903225806451613</v>
      </c>
    </row>
    <row r="9" spans="2:7" x14ac:dyDescent="0.25">
      <c r="B9" s="147" t="s">
        <v>355</v>
      </c>
      <c r="C9" s="154">
        <f>+'CASH FLOW (US$)'!E135</f>
        <v>0.40560000000000002</v>
      </c>
      <c r="D9" s="154">
        <f>+'CASH FLOW (US$)'!F135</f>
        <v>0.36872727272727268</v>
      </c>
      <c r="E9" s="154">
        <f>+'CASH FLOW (US$)'!G135</f>
        <v>0.33799999999999997</v>
      </c>
      <c r="F9" s="154">
        <f>+'CASH FLOW (US$)'!H135</f>
        <v>0.32709677419354832</v>
      </c>
      <c r="G9" s="154">
        <f>+'CASH FLOW (US$)'!I135</f>
        <v>0.32709677419354832</v>
      </c>
    </row>
    <row r="10" spans="2:7" x14ac:dyDescent="0.25">
      <c r="B10" s="147" t="s">
        <v>354</v>
      </c>
      <c r="C10" s="154">
        <f>+'CASH FLOW (US$)'!E141</f>
        <v>0.471744</v>
      </c>
      <c r="D10" s="154">
        <f>+'CASH FLOW (US$)'!F141</f>
        <v>0.42885818181818175</v>
      </c>
      <c r="E10" s="154">
        <f>+'CASH FLOW (US$)'!G141</f>
        <v>0.39311999999999997</v>
      </c>
      <c r="F10" s="154">
        <f>+'CASH FLOW (US$)'!H141</f>
        <v>0.38043870967741933</v>
      </c>
      <c r="G10" s="154">
        <f>+'CASH FLOW (US$)'!I141</f>
        <v>0.38043870967741933</v>
      </c>
    </row>
    <row r="11" spans="2:7" x14ac:dyDescent="0.25">
      <c r="B11" s="147" t="s">
        <v>353</v>
      </c>
      <c r="C11" s="154">
        <f>+'CASH FLOW (US$)'!E147</f>
        <v>0.28799999999999998</v>
      </c>
      <c r="D11" s="154">
        <f>+'CASH FLOW (US$)'!F147</f>
        <v>0.26181818181818178</v>
      </c>
      <c r="E11" s="154">
        <f>+'CASH FLOW (US$)'!G147</f>
        <v>0.23999999999999996</v>
      </c>
      <c r="F11" s="154">
        <f>+'CASH FLOW (US$)'!H147</f>
        <v>0.23225806451612901</v>
      </c>
      <c r="G11" s="154">
        <f>+'CASH FLOW (US$)'!I147</f>
        <v>0.23225806451612901</v>
      </c>
    </row>
    <row r="12" spans="2:7" x14ac:dyDescent="0.25">
      <c r="B12" s="147" t="s">
        <v>356</v>
      </c>
      <c r="C12" s="154">
        <f>+'CASH FLOW (US$)'!E153</f>
        <v>0.12</v>
      </c>
      <c r="D12" s="154">
        <f>+'CASH FLOW (US$)'!F153</f>
        <v>0.10909090909090907</v>
      </c>
      <c r="E12" s="154">
        <f>+'CASH FLOW (US$)'!G153</f>
        <v>9.9999999999999992E-2</v>
      </c>
      <c r="F12" s="154">
        <f>+'CASH FLOW (US$)'!H153</f>
        <v>9.677419354838708E-2</v>
      </c>
      <c r="G12" s="154">
        <f>+'CASH FLOW (US$)'!I153</f>
        <v>9.677419354838708E-2</v>
      </c>
    </row>
    <row r="13" spans="2:7" x14ac:dyDescent="0.25">
      <c r="B13" s="147" t="s">
        <v>357</v>
      </c>
      <c r="C13" s="154">
        <f>+'CASH FLOW (US$)'!E157</f>
        <v>5.6</v>
      </c>
      <c r="D13" s="154">
        <f>+'CASH FLOW (US$)'!F157</f>
        <v>5.0909090909090899</v>
      </c>
      <c r="E13" s="154">
        <f>+'CASH FLOW (US$)'!G157</f>
        <v>4.6666666666666661</v>
      </c>
      <c r="F13" s="154">
        <f>+'CASH FLOW (US$)'!H157</f>
        <v>4.5161290322580641</v>
      </c>
      <c r="G13" s="154">
        <f>+'CASH FLOW (US$)'!I157</f>
        <v>4.5161290322580641</v>
      </c>
    </row>
    <row r="14" spans="2:7" x14ac:dyDescent="0.25">
      <c r="B14" s="147" t="s">
        <v>358</v>
      </c>
      <c r="C14" s="154">
        <f>+'CASH FLOW (US$)'!E160</f>
        <v>0.96</v>
      </c>
      <c r="D14" s="154">
        <f>+'CASH FLOW (US$)'!F160</f>
        <v>0.87272727272727257</v>
      </c>
      <c r="E14" s="154">
        <f>+'CASH FLOW (US$)'!G160</f>
        <v>0.79999999999999993</v>
      </c>
      <c r="F14" s="154">
        <f>+'CASH FLOW (US$)'!H160</f>
        <v>0.77419354838709664</v>
      </c>
      <c r="G14" s="154">
        <f>+'CASH FLOW (US$)'!I160</f>
        <v>0.77419354838709664</v>
      </c>
    </row>
    <row r="15" spans="2:7" x14ac:dyDescent="0.25">
      <c r="B15" s="147" t="s">
        <v>553</v>
      </c>
      <c r="C15" s="154">
        <f>+'CASH FLOW (US$)'!E173/'CASH FLOW (US$)'!E29</f>
        <v>2.7261335999999998</v>
      </c>
      <c r="D15" s="154">
        <f>+'CASH FLOW (US$)'!F173/'CASH FLOW (US$)'!F29</f>
        <v>2.7225735272727269</v>
      </c>
      <c r="E15" s="154">
        <f>+'CASH FLOW (US$)'!G173/'CASH FLOW (US$)'!G29</f>
        <v>5.4319615999999993</v>
      </c>
      <c r="F15" s="154">
        <f>+'CASH FLOW (US$)'!H173/'CASH FLOW (US$)'!H29</f>
        <v>5.42728289032258</v>
      </c>
      <c r="G15" s="154">
        <f>+'CASH FLOW (US$)'!I173/'CASH FLOW (US$)'!I29</f>
        <v>5.42728289032258</v>
      </c>
    </row>
    <row r="16" spans="2:7" x14ac:dyDescent="0.25">
      <c r="B16" s="479" t="s">
        <v>194</v>
      </c>
      <c r="C16" s="482">
        <f>SUM(C6:C14)</f>
        <v>147.16646944000001</v>
      </c>
      <c r="D16" s="482">
        <f>SUM(D6:D14)</f>
        <v>133.78769949090906</v>
      </c>
      <c r="E16" s="482">
        <f>SUM(E6:E14)</f>
        <v>122.6387245333333</v>
      </c>
      <c r="F16" s="482">
        <f>SUM(F6:F14)</f>
        <v>118.6826366451613</v>
      </c>
      <c r="G16" s="482">
        <f>SUM(G6:G14)</f>
        <v>118.6826366451613</v>
      </c>
    </row>
    <row r="17" spans="2:7" x14ac:dyDescent="0.25">
      <c r="B17" s="147"/>
      <c r="C17" s="149"/>
      <c r="D17" s="149"/>
      <c r="E17" s="149"/>
      <c r="F17" s="149"/>
      <c r="G17" s="588"/>
    </row>
    <row r="18" spans="2:7" x14ac:dyDescent="0.25">
      <c r="B18" s="479" t="s">
        <v>362</v>
      </c>
      <c r="C18" s="482"/>
      <c r="D18" s="482"/>
      <c r="E18" s="482"/>
      <c r="F18" s="482"/>
      <c r="G18" s="587"/>
    </row>
    <row r="19" spans="2:7" x14ac:dyDescent="0.25">
      <c r="B19" s="147" t="s">
        <v>342</v>
      </c>
      <c r="C19" s="150">
        <f>+'CASH FLOW (US$)'!E115</f>
        <v>323960</v>
      </c>
      <c r="D19" s="150">
        <f>+'CASH FLOW (US$)'!F115</f>
        <v>323960</v>
      </c>
      <c r="E19" s="150">
        <f>+'CASH FLOW (US$)'!G115</f>
        <v>342160</v>
      </c>
      <c r="F19" s="150">
        <f>+'CASH FLOW (US$)'!H115</f>
        <v>342160</v>
      </c>
      <c r="G19" s="150">
        <f>+'CASH FLOW (US$)'!I115</f>
        <v>342160</v>
      </c>
    </row>
    <row r="20" spans="2:7" x14ac:dyDescent="0.25">
      <c r="B20" s="147" t="s">
        <v>367</v>
      </c>
      <c r="C20" s="150">
        <f>+'CASH FLOW (US$)'!E168</f>
        <v>2400</v>
      </c>
      <c r="D20" s="150">
        <f>+'CASH FLOW (US$)'!F168</f>
        <v>2400</v>
      </c>
      <c r="E20" s="150">
        <f>+'CASH FLOW (US$)'!G168</f>
        <v>2400</v>
      </c>
      <c r="F20" s="150">
        <f>+'CASH FLOW (US$)'!H168</f>
        <v>2400</v>
      </c>
      <c r="G20" s="150">
        <f>+'CASH FLOW (US$)'!I168</f>
        <v>2400</v>
      </c>
    </row>
    <row r="21" spans="2:7" x14ac:dyDescent="0.25">
      <c r="B21" s="147" t="s">
        <v>467</v>
      </c>
      <c r="C21" s="150">
        <f>+'CASH FLOW (US$)'!E169</f>
        <v>0</v>
      </c>
      <c r="D21" s="150">
        <f>+'CASH FLOW (US$)'!F169</f>
        <v>10000</v>
      </c>
      <c r="E21" s="150">
        <f>+'CASH FLOW (US$)'!G169</f>
        <v>10000</v>
      </c>
      <c r="F21" s="150">
        <f>+'CASH FLOW (US$)'!H169</f>
        <v>5000</v>
      </c>
      <c r="G21" s="150">
        <f>+'CASH FLOW (US$)'!I169</f>
        <v>5000</v>
      </c>
    </row>
    <row r="22" spans="2:7" x14ac:dyDescent="0.25">
      <c r="B22" s="147" t="s">
        <v>466</v>
      </c>
      <c r="C22" s="150">
        <f>+'CASH FLOW (US$)'!E171</f>
        <v>0</v>
      </c>
      <c r="D22" s="150">
        <f>+'CASH FLOW (US$)'!F171</f>
        <v>3600</v>
      </c>
      <c r="E22" s="150">
        <f>+'CASH FLOW (US$)'!G171</f>
        <v>3600</v>
      </c>
      <c r="F22" s="150">
        <f>+'CASH FLOW (US$)'!H171</f>
        <v>3600</v>
      </c>
      <c r="G22" s="150">
        <f>+'CASH FLOW (US$)'!I171</f>
        <v>3600</v>
      </c>
    </row>
    <row r="23" spans="2:7" x14ac:dyDescent="0.25">
      <c r="B23" s="147" t="s">
        <v>631</v>
      </c>
      <c r="C23" s="150">
        <f>+'CASH FLOW (US$)'!E172</f>
        <v>0</v>
      </c>
      <c r="D23" s="150">
        <f>+'CASH FLOW (US$)'!F172</f>
        <v>10000</v>
      </c>
      <c r="E23" s="150">
        <f>+'CASH FLOW (US$)'!G172</f>
        <v>10000</v>
      </c>
      <c r="F23" s="150">
        <f>+'CASH FLOW (US$)'!H172</f>
        <v>10000</v>
      </c>
      <c r="G23" s="150">
        <f>+'CASH FLOW (US$)'!I172</f>
        <v>10000</v>
      </c>
    </row>
    <row r="24" spans="2:7" x14ac:dyDescent="0.25">
      <c r="B24" s="147" t="s">
        <v>470</v>
      </c>
      <c r="C24" s="150">
        <f>+'CASH FLOW (US$)'!E195</f>
        <v>111915.80226666667</v>
      </c>
      <c r="D24" s="150">
        <f>+'CASH FLOW (US$)'!F195</f>
        <v>111915.80226666667</v>
      </c>
      <c r="E24" s="150">
        <f>+'CASH FLOW (US$)'!G195</f>
        <v>111915.80226666667</v>
      </c>
      <c r="F24" s="150">
        <f>+'CASH FLOW (US$)'!H195</f>
        <v>111915.80226666667</v>
      </c>
      <c r="G24" s="150">
        <f>+'CASH FLOW (US$)'!I195</f>
        <v>111915.80226666667</v>
      </c>
    </row>
    <row r="25" spans="2:7" x14ac:dyDescent="0.25">
      <c r="B25" s="147" t="s">
        <v>390</v>
      </c>
      <c r="C25" s="150">
        <f>-'CASH FLOW (US$)'!E185</f>
        <v>4500</v>
      </c>
      <c r="D25" s="150">
        <f>-'CASH FLOW (US$)'!F185</f>
        <v>3600</v>
      </c>
      <c r="E25" s="150">
        <f>-'CASH FLOW (US$)'!G185</f>
        <v>2700</v>
      </c>
      <c r="F25" s="150">
        <f>-'CASH FLOW (US$)'!H185</f>
        <v>1800</v>
      </c>
      <c r="G25" s="150">
        <f>-'CASH FLOW (US$)'!I185</f>
        <v>900</v>
      </c>
    </row>
    <row r="26" spans="2:7" x14ac:dyDescent="0.25">
      <c r="B26" s="479" t="s">
        <v>449</v>
      </c>
      <c r="C26" s="481">
        <f>SUM(C19:C25)</f>
        <v>442775.80226666667</v>
      </c>
      <c r="D26" s="481">
        <f t="shared" ref="D26:G26" si="0">SUM(D19:D25)</f>
        <v>465475.80226666667</v>
      </c>
      <c r="E26" s="481">
        <f t="shared" si="0"/>
        <v>482775.80226666667</v>
      </c>
      <c r="F26" s="481">
        <f t="shared" si="0"/>
        <v>476875.80226666667</v>
      </c>
      <c r="G26" s="481">
        <f t="shared" si="0"/>
        <v>475975.80226666667</v>
      </c>
    </row>
    <row r="27" spans="2:7" x14ac:dyDescent="0.25">
      <c r="B27" s="484"/>
      <c r="C27" s="484"/>
      <c r="D27" s="484"/>
      <c r="E27" s="484"/>
      <c r="F27" s="484"/>
      <c r="G27" s="484"/>
    </row>
    <row r="28" spans="2:7" x14ac:dyDescent="0.25">
      <c r="B28" s="479" t="s">
        <v>447</v>
      </c>
      <c r="C28" s="482">
        <f>+C3-C16</f>
        <v>76.747930559999986</v>
      </c>
      <c r="D28" s="482">
        <f>+D3-D16</f>
        <v>90.126700509090909</v>
      </c>
      <c r="E28" s="482">
        <f>+E3-E16</f>
        <v>101.27567546666667</v>
      </c>
      <c r="F28" s="482">
        <f>+F3-F16</f>
        <v>105.23176335483868</v>
      </c>
      <c r="G28" s="482">
        <f>+G3-G16</f>
        <v>105.23176335483868</v>
      </c>
    </row>
    <row r="29" spans="2:7" x14ac:dyDescent="0.25">
      <c r="B29" s="483"/>
      <c r="C29" s="483"/>
      <c r="D29" s="483"/>
      <c r="E29" s="483"/>
      <c r="F29" s="483"/>
      <c r="G29" s="483"/>
    </row>
    <row r="30" spans="2:7" x14ac:dyDescent="0.25">
      <c r="B30" s="479" t="s">
        <v>366</v>
      </c>
      <c r="C30" s="482">
        <f>+C26/C28</f>
        <v>5769.2213853312105</v>
      </c>
      <c r="D30" s="482">
        <f t="shared" ref="D30:G30" si="1">+D26/D28</f>
        <v>5164.6826039050993</v>
      </c>
      <c r="E30" s="482">
        <f t="shared" si="1"/>
        <v>4766.9472461387322</v>
      </c>
      <c r="F30" s="482">
        <f t="shared" si="1"/>
        <v>4531.671684134516</v>
      </c>
      <c r="G30" s="482">
        <f t="shared" si="1"/>
        <v>4523.1191333522474</v>
      </c>
    </row>
    <row r="32" spans="2:7" x14ac:dyDescent="0.25">
      <c r="B32" s="479" t="s">
        <v>471</v>
      </c>
      <c r="C32" s="480">
        <f>+C30/'CASH FLOW (US$)'!E29</f>
        <v>0.46153771082649686</v>
      </c>
      <c r="D32" s="480">
        <f>+D30/'CASH FLOW (US$)'!F29</f>
        <v>0.3756132802840072</v>
      </c>
      <c r="E32" s="480">
        <f>+E30/'CASH FLOW (US$)'!G29</f>
        <v>0.31779648307591546</v>
      </c>
      <c r="F32" s="480">
        <f>+F30/'CASH FLOW (US$)'!H29</f>
        <v>0.29236591510545262</v>
      </c>
      <c r="G32" s="480">
        <f>+G30/'CASH FLOW (US$)'!I29</f>
        <v>0.29181413763562886</v>
      </c>
    </row>
    <row r="34" spans="2:7" x14ac:dyDescent="0.25">
      <c r="B34" s="479" t="s">
        <v>450</v>
      </c>
      <c r="C34" s="482">
        <f>+C30*C3</f>
        <v>1291811.7449636068</v>
      </c>
      <c r="D34" s="482">
        <f>+D30*D3</f>
        <v>1156446.8064438477</v>
      </c>
      <c r="E34" s="482">
        <f>+E30*E3</f>
        <v>1067388.1324508064</v>
      </c>
      <c r="F34" s="482">
        <f>+F30*F3</f>
        <v>1014706.5461499696</v>
      </c>
      <c r="G34" s="482">
        <f>+G30*G3</f>
        <v>1012791.5068730883</v>
      </c>
    </row>
  </sheetData>
  <mergeCells count="1">
    <mergeCell ref="C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Datos</vt:lpstr>
      <vt:lpstr>Superficie</vt:lpstr>
      <vt:lpstr>Almacenamiento trozas</vt:lpstr>
      <vt:lpstr>Plantación</vt:lpstr>
      <vt:lpstr>Inversión &amp; Equipamiento</vt:lpstr>
      <vt:lpstr>Cadena de Valor</vt:lpstr>
      <vt:lpstr>Mano de obra</vt:lpstr>
      <vt:lpstr>Gastos previos</vt:lpstr>
      <vt:lpstr>Pto Equilibrio</vt:lpstr>
      <vt:lpstr>CASH FLOW (US$)</vt:lpstr>
      <vt:lpstr>BALANCE</vt:lpstr>
      <vt:lpstr>ESTADO USOS &amp; FUENTES OPERATIVA</vt:lpstr>
      <vt:lpstr>Costo del Capital</vt:lpstr>
      <vt:lpstr>Prestamo</vt:lpstr>
      <vt:lpstr>SENSIBILIDAD</vt:lpstr>
      <vt:lpstr>Hoja2</vt:lpstr>
    </vt:vector>
  </TitlesOfParts>
  <Company>NSG Pilkington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rl0011</dc:creator>
  <cp:lastModifiedBy>Roger, Lucas</cp:lastModifiedBy>
  <dcterms:created xsi:type="dcterms:W3CDTF">2014-11-08T12:33:01Z</dcterms:created>
  <dcterms:modified xsi:type="dcterms:W3CDTF">2015-06-23T15:18:55Z</dcterms:modified>
</cp:coreProperties>
</file>