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10158673\Desktop\Take Away Desktop Philips\BP DEFINITIVO\"/>
    </mc:Choice>
  </mc:AlternateContent>
  <bookViews>
    <workbookView xWindow="390" yWindow="615" windowWidth="19815" windowHeight="9150" activeTab="1"/>
  </bookViews>
  <sheets>
    <sheet name="Market Research" sheetId="1" r:id="rId1"/>
    <sheet name="Cash Flow" sheetId="2" r:id="rId2"/>
    <sheet name="Viralization" sheetId="3" r:id="rId3"/>
    <sheet name="Tasa de descuento" sheetId="5" r:id="rId4"/>
    <sheet name="Ingresos por publicidad" sheetId="6" r:id="rId5"/>
    <sheet name="Sueldos" sheetId="14" r:id="rId6"/>
    <sheet name="Gastos de Producción" sheetId="7" r:id="rId7"/>
    <sheet name="Gastos de Marketing" sheetId="8" r:id="rId8"/>
    <sheet name="Gastos de Administración" sheetId="9" r:id="rId9"/>
    <sheet name="Google Engine" sheetId="15" r:id="rId10"/>
    <sheet name="Copy of Viralization" sheetId="10" r:id="rId11"/>
  </sheets>
  <calcPr calcId="152511"/>
</workbook>
</file>

<file path=xl/calcChain.xml><?xml version="1.0" encoding="utf-8"?>
<calcChain xmlns="http://schemas.openxmlformats.org/spreadsheetml/2006/main">
  <c r="C18" i="15" l="1"/>
  <c r="C19" i="15"/>
  <c r="C20" i="15" s="1"/>
  <c r="K47" i="2" l="1"/>
  <c r="K48" i="2" s="1"/>
  <c r="F16" i="2"/>
  <c r="G16" i="2"/>
  <c r="H16" i="2"/>
  <c r="E16" i="2"/>
  <c r="M47" i="2"/>
  <c r="M48" i="2" s="1"/>
  <c r="C14" i="14" l="1"/>
  <c r="B14" i="14"/>
  <c r="A14" i="14"/>
  <c r="C5" i="14"/>
  <c r="B5" i="14"/>
  <c r="C13" i="14"/>
  <c r="B13" i="14"/>
  <c r="A13" i="14"/>
  <c r="C12" i="14"/>
  <c r="B12" i="14"/>
  <c r="A12" i="14"/>
  <c r="C11" i="14"/>
  <c r="B11" i="14"/>
  <c r="A11" i="14"/>
  <c r="C10" i="14"/>
  <c r="B10" i="14"/>
  <c r="A10" i="14"/>
  <c r="A5" i="14"/>
  <c r="D9" i="14"/>
  <c r="C9" i="14"/>
  <c r="B9" i="14"/>
  <c r="C8" i="14"/>
  <c r="C6" i="14"/>
  <c r="B8" i="14"/>
  <c r="B7" i="14"/>
  <c r="B6" i="14"/>
  <c r="E45" i="10"/>
  <c r="E46" i="10" s="1"/>
  <c r="E47" i="10" s="1"/>
  <c r="E48" i="10" s="1"/>
  <c r="E49" i="10" s="1"/>
  <c r="E50" i="10" s="1"/>
  <c r="E51" i="10" s="1"/>
  <c r="E52" i="10" s="1"/>
  <c r="E53" i="10" s="1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E64" i="10" s="1"/>
  <c r="E65" i="10" s="1"/>
  <c r="E66" i="10" s="1"/>
  <c r="E67" i="10" s="1"/>
  <c r="E68" i="10" s="1"/>
  <c r="E69" i="10" s="1"/>
  <c r="E70" i="10" s="1"/>
  <c r="E71" i="10" s="1"/>
  <c r="E72" i="10" s="1"/>
  <c r="E73" i="10" s="1"/>
  <c r="E74" i="10" s="1"/>
  <c r="E75" i="10" s="1"/>
  <c r="E76" i="10" s="1"/>
  <c r="E77" i="10" s="1"/>
  <c r="E78" i="10" s="1"/>
  <c r="E79" i="10" s="1"/>
  <c r="E80" i="10" s="1"/>
  <c r="E81" i="10" s="1"/>
  <c r="E82" i="10" s="1"/>
  <c r="E83" i="10" s="1"/>
  <c r="E84" i="10" s="1"/>
  <c r="E85" i="10" s="1"/>
  <c r="E86" i="10" s="1"/>
  <c r="E87" i="10" s="1"/>
  <c r="E88" i="10" s="1"/>
  <c r="E89" i="10" s="1"/>
  <c r="E90" i="10" s="1"/>
  <c r="E91" i="10" s="1"/>
  <c r="D45" i="10"/>
  <c r="G44" i="10"/>
  <c r="C44" i="10"/>
  <c r="B32" i="10"/>
  <c r="B31" i="10"/>
  <c r="B30" i="10"/>
  <c r="B20" i="10"/>
  <c r="B15" i="10"/>
  <c r="B10" i="10"/>
  <c r="G9" i="9"/>
  <c r="F9" i="9"/>
  <c r="E9" i="9"/>
  <c r="D9" i="9"/>
  <c r="C9" i="9"/>
  <c r="G7" i="9"/>
  <c r="F7" i="9"/>
  <c r="E7" i="9"/>
  <c r="D7" i="9"/>
  <c r="C7" i="9"/>
  <c r="D5" i="9"/>
  <c r="D5" i="14" s="1"/>
  <c r="B4" i="9"/>
  <c r="C25" i="2" s="1"/>
  <c r="C14" i="8"/>
  <c r="G12" i="8"/>
  <c r="F12" i="8"/>
  <c r="E12" i="8"/>
  <c r="D12" i="8"/>
  <c r="D10" i="8"/>
  <c r="E10" i="8" s="1"/>
  <c r="F10" i="8" s="1"/>
  <c r="G10" i="8" s="1"/>
  <c r="D5" i="8"/>
  <c r="D8" i="8" s="1"/>
  <c r="D13" i="14" s="1"/>
  <c r="B4" i="8"/>
  <c r="C21" i="2" s="1"/>
  <c r="G13" i="7"/>
  <c r="F13" i="7"/>
  <c r="E13" i="7"/>
  <c r="D13" i="7"/>
  <c r="C13" i="7"/>
  <c r="G11" i="7"/>
  <c r="F11" i="7"/>
  <c r="E11" i="7"/>
  <c r="D11" i="7"/>
  <c r="D9" i="7"/>
  <c r="E9" i="7" s="1"/>
  <c r="F9" i="7" s="1"/>
  <c r="G9" i="7" s="1"/>
  <c r="E8" i="7"/>
  <c r="E9" i="14" s="1"/>
  <c r="D7" i="7"/>
  <c r="E7" i="7" s="1"/>
  <c r="F8" i="7" s="1"/>
  <c r="F9" i="14" s="1"/>
  <c r="C6" i="7"/>
  <c r="C7" i="14" s="1"/>
  <c r="D5" i="7"/>
  <c r="E5" i="7" s="1"/>
  <c r="E6" i="14" s="1"/>
  <c r="B4" i="7"/>
  <c r="C23" i="2" s="1"/>
  <c r="B12" i="6"/>
  <c r="B5" i="6" s="1"/>
  <c r="B4" i="6" s="1"/>
  <c r="C17" i="2" s="1"/>
  <c r="C18" i="2" s="1"/>
  <c r="C11" i="6"/>
  <c r="D11" i="6" s="1"/>
  <c r="E11" i="6" s="1"/>
  <c r="F11" i="6" s="1"/>
  <c r="G11" i="6" s="1"/>
  <c r="D7" i="6"/>
  <c r="E7" i="6" s="1"/>
  <c r="F7" i="6" s="1"/>
  <c r="G7" i="6" s="1"/>
  <c r="B11" i="5"/>
  <c r="E45" i="3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D45" i="3"/>
  <c r="G44" i="3"/>
  <c r="C44" i="3"/>
  <c r="B32" i="3"/>
  <c r="B31" i="3"/>
  <c r="B30" i="3"/>
  <c r="B20" i="3"/>
  <c r="B15" i="3"/>
  <c r="B10" i="3"/>
  <c r="L47" i="2"/>
  <c r="L48" i="2" s="1"/>
  <c r="N46" i="2"/>
  <c r="O46" i="2" s="1"/>
  <c r="P46" i="2" s="1"/>
  <c r="N45" i="2"/>
  <c r="O45" i="2" s="1"/>
  <c r="P45" i="2" s="1"/>
  <c r="H44" i="2"/>
  <c r="G44" i="2"/>
  <c r="F44" i="2"/>
  <c r="E44" i="2"/>
  <c r="D44" i="2"/>
  <c r="C44" i="2"/>
  <c r="N43" i="2"/>
  <c r="O43" i="2" s="1"/>
  <c r="P43" i="2" s="1"/>
  <c r="N42" i="2"/>
  <c r="O42" i="2" s="1"/>
  <c r="P42" i="2" s="1"/>
  <c r="K14" i="2"/>
  <c r="K15" i="2" s="1"/>
  <c r="M8" i="2" s="1"/>
  <c r="D10" i="9" s="1"/>
  <c r="C12" i="2"/>
  <c r="D9" i="2"/>
  <c r="D8" i="2"/>
  <c r="P7" i="2"/>
  <c r="O7" i="2"/>
  <c r="N7" i="2"/>
  <c r="M7" i="2"/>
  <c r="L7" i="2"/>
  <c r="C1" i="2"/>
  <c r="C61" i="2" s="1"/>
  <c r="C38" i="1"/>
  <c r="B38" i="1"/>
  <c r="B37" i="1" s="1"/>
  <c r="B28" i="1"/>
  <c r="L27" i="1"/>
  <c r="L26" i="1"/>
  <c r="L25" i="1"/>
  <c r="K25" i="1"/>
  <c r="J25" i="1"/>
  <c r="H25" i="1"/>
  <c r="G25" i="1"/>
  <c r="G24" i="1" s="1"/>
  <c r="F25" i="1"/>
  <c r="F24" i="1" s="1"/>
  <c r="E25" i="1"/>
  <c r="E24" i="1" s="1"/>
  <c r="D25" i="1"/>
  <c r="D24" i="1" s="1"/>
  <c r="C25" i="1"/>
  <c r="C24" i="1" s="1"/>
  <c r="L24" i="1"/>
  <c r="K24" i="1"/>
  <c r="J24" i="1"/>
  <c r="H24" i="1"/>
  <c r="E23" i="1"/>
  <c r="F23" i="1" s="1"/>
  <c r="G23" i="1" s="1"/>
  <c r="H23" i="1" s="1"/>
  <c r="H19" i="1"/>
  <c r="G19" i="1"/>
  <c r="F19" i="1"/>
  <c r="E19" i="1"/>
  <c r="D19" i="1"/>
  <c r="C19" i="1"/>
  <c r="B19" i="1"/>
  <c r="B20" i="1" s="1"/>
  <c r="F16" i="1"/>
  <c r="G16" i="1" s="1"/>
  <c r="H16" i="1" s="1"/>
  <c r="C16" i="1"/>
  <c r="D16" i="1" s="1"/>
  <c r="E16" i="1" s="1"/>
  <c r="B14" i="1"/>
  <c r="B12" i="1"/>
  <c r="B11" i="1"/>
  <c r="B8" i="1"/>
  <c r="B9" i="1" s="1"/>
  <c r="B21" i="1" s="1"/>
  <c r="C7" i="1"/>
  <c r="C6" i="1"/>
  <c r="C5" i="1"/>
  <c r="D5" i="1" s="1"/>
  <c r="E5" i="1" s="1"/>
  <c r="F5" i="1" s="1"/>
  <c r="G5" i="1" s="1"/>
  <c r="H5" i="1" s="1"/>
  <c r="C4" i="14" l="1"/>
  <c r="B15" i="1"/>
  <c r="C15" i="1" s="1"/>
  <c r="C12" i="1"/>
  <c r="C8" i="1"/>
  <c r="C9" i="1" s="1"/>
  <c r="E5" i="9"/>
  <c r="D7" i="1"/>
  <c r="E7" i="1" s="1"/>
  <c r="C14" i="1"/>
  <c r="D8" i="14"/>
  <c r="E8" i="14"/>
  <c r="B36" i="1"/>
  <c r="D6" i="14"/>
  <c r="D10" i="14"/>
  <c r="B4" i="14"/>
  <c r="B16" i="14" s="1"/>
  <c r="E6" i="7"/>
  <c r="E7" i="14" s="1"/>
  <c r="F5" i="7"/>
  <c r="F7" i="7"/>
  <c r="F8" i="14" s="1"/>
  <c r="D6" i="7"/>
  <c r="D7" i="14" s="1"/>
  <c r="E5" i="8"/>
  <c r="C27" i="2"/>
  <c r="C11" i="1"/>
  <c r="D6" i="1"/>
  <c r="E8" i="1"/>
  <c r="F7" i="1"/>
  <c r="C20" i="1"/>
  <c r="C21" i="1"/>
  <c r="N8" i="2"/>
  <c r="E10" i="9" s="1"/>
  <c r="E4" i="9" s="1"/>
  <c r="F25" i="2" s="1"/>
  <c r="L8" i="2"/>
  <c r="C10" i="9" s="1"/>
  <c r="C4" i="9" s="1"/>
  <c r="D25" i="2" s="1"/>
  <c r="O8" i="2"/>
  <c r="F10" i="9" s="1"/>
  <c r="P8" i="2"/>
  <c r="G10" i="9" s="1"/>
  <c r="D8" i="1"/>
  <c r="D11" i="2"/>
  <c r="C12" i="8"/>
  <c r="C4" i="8" s="1"/>
  <c r="D6" i="8"/>
  <c r="D11" i="14" s="1"/>
  <c r="D7" i="8"/>
  <c r="D4" i="9"/>
  <c r="E25" i="2" s="1"/>
  <c r="N44" i="2"/>
  <c r="O44" i="2" s="1"/>
  <c r="P44" i="2" s="1"/>
  <c r="P47" i="2" s="1"/>
  <c r="P48" i="2" s="1"/>
  <c r="H44" i="10"/>
  <c r="I44" i="10"/>
  <c r="B45" i="10" s="1"/>
  <c r="D46" i="3"/>
  <c r="G7" i="7"/>
  <c r="G8" i="14" s="1"/>
  <c r="G8" i="7"/>
  <c r="G9" i="14" s="1"/>
  <c r="E7" i="8"/>
  <c r="E8" i="8"/>
  <c r="E13" i="14" s="1"/>
  <c r="B21" i="3"/>
  <c r="B22" i="3" s="1"/>
  <c r="B23" i="3" s="1"/>
  <c r="B24" i="3" s="1"/>
  <c r="B21" i="10"/>
  <c r="H44" i="3"/>
  <c r="I44" i="3" s="1"/>
  <c r="B45" i="3" s="1"/>
  <c r="D46" i="10"/>
  <c r="D4" i="14" l="1"/>
  <c r="E6" i="8"/>
  <c r="E11" i="14" s="1"/>
  <c r="E10" i="14"/>
  <c r="C27" i="1"/>
  <c r="C28" i="1" s="1"/>
  <c r="D15" i="1"/>
  <c r="E9" i="8"/>
  <c r="E14" i="14" s="1"/>
  <c r="E12" i="14"/>
  <c r="F5" i="9"/>
  <c r="E5" i="14"/>
  <c r="E4" i="14" s="1"/>
  <c r="C30" i="1"/>
  <c r="D9" i="8"/>
  <c r="D14" i="14" s="1"/>
  <c r="D12" i="14"/>
  <c r="F4" i="9"/>
  <c r="G25" i="2" s="1"/>
  <c r="F6" i="7"/>
  <c r="F7" i="14" s="1"/>
  <c r="F6" i="14"/>
  <c r="B17" i="14"/>
  <c r="C30" i="2"/>
  <c r="C34" i="2" s="1"/>
  <c r="C38" i="2" s="1"/>
  <c r="C39" i="2" s="1"/>
  <c r="C48" i="2" s="1"/>
  <c r="C51" i="2" s="1"/>
  <c r="G5" i="7"/>
  <c r="F5" i="8"/>
  <c r="F10" i="14" s="1"/>
  <c r="O47" i="2"/>
  <c r="O48" i="2" s="1"/>
  <c r="D9" i="1"/>
  <c r="D21" i="1" s="1"/>
  <c r="D20" i="1"/>
  <c r="E6" i="1"/>
  <c r="D11" i="1"/>
  <c r="G5" i="8"/>
  <c r="G10" i="14" s="1"/>
  <c r="D21" i="2"/>
  <c r="D12" i="1"/>
  <c r="D47" i="10"/>
  <c r="D47" i="3"/>
  <c r="N47" i="2"/>
  <c r="N48" i="2" s="1"/>
  <c r="G7" i="1"/>
  <c r="F8" i="1"/>
  <c r="B22" i="10"/>
  <c r="B25" i="3"/>
  <c r="F45" i="3"/>
  <c r="C10" i="7"/>
  <c r="C4" i="7" s="1"/>
  <c r="D23" i="2" s="1"/>
  <c r="C8" i="6"/>
  <c r="C12" i="6" s="1"/>
  <c r="C5" i="6" s="1"/>
  <c r="C4" i="6" s="1"/>
  <c r="D17" i="2" s="1"/>
  <c r="D18" i="2" s="1"/>
  <c r="C16" i="14" s="1"/>
  <c r="C18" i="8"/>
  <c r="D12" i="2"/>
  <c r="E20" i="1"/>
  <c r="E9" i="1"/>
  <c r="E21" i="1" s="1"/>
  <c r="F7" i="8" l="1"/>
  <c r="G6" i="7"/>
  <c r="G7" i="14" s="1"/>
  <c r="G6" i="14"/>
  <c r="F5" i="14"/>
  <c r="G5" i="9"/>
  <c r="F6" i="8"/>
  <c r="F11" i="14" s="1"/>
  <c r="E15" i="1"/>
  <c r="D27" i="1"/>
  <c r="D28" i="1" s="1"/>
  <c r="D30" i="1"/>
  <c r="F8" i="8"/>
  <c r="F13" i="14" s="1"/>
  <c r="C31" i="1"/>
  <c r="C32" i="1"/>
  <c r="C53" i="2"/>
  <c r="C55" i="2" s="1"/>
  <c r="C56" i="2" s="1"/>
  <c r="B23" i="10"/>
  <c r="D48" i="10"/>
  <c r="C19" i="8"/>
  <c r="F6" i="1"/>
  <c r="E12" i="1"/>
  <c r="E11" i="1"/>
  <c r="D24" i="2"/>
  <c r="G45" i="3"/>
  <c r="F9" i="1"/>
  <c r="F21" i="1" s="1"/>
  <c r="F20" i="1"/>
  <c r="D22" i="2"/>
  <c r="D27" i="2"/>
  <c r="H7" i="1"/>
  <c r="G8" i="1"/>
  <c r="D48" i="3"/>
  <c r="G8" i="8"/>
  <c r="G13" i="14" s="1"/>
  <c r="G7" i="8"/>
  <c r="G6" i="8"/>
  <c r="G11" i="14" s="1"/>
  <c r="D26" i="2"/>
  <c r="G9" i="8" l="1"/>
  <c r="G14" i="14" s="1"/>
  <c r="G12" i="14"/>
  <c r="D28" i="2"/>
  <c r="C17" i="14"/>
  <c r="E27" i="1"/>
  <c r="E28" i="1" s="1"/>
  <c r="F15" i="1"/>
  <c r="E30" i="1"/>
  <c r="G5" i="14"/>
  <c r="G4" i="9"/>
  <c r="H25" i="2" s="1"/>
  <c r="F9" i="8"/>
  <c r="F14" i="14" s="1"/>
  <c r="F12" i="14"/>
  <c r="F4" i="14" s="1"/>
  <c r="H8" i="1"/>
  <c r="F46" i="3"/>
  <c r="H45" i="3"/>
  <c r="I45" i="3" s="1"/>
  <c r="B46" i="3" s="1"/>
  <c r="D49" i="10"/>
  <c r="D30" i="2"/>
  <c r="D49" i="3"/>
  <c r="G9" i="1"/>
  <c r="G21" i="1" s="1"/>
  <c r="G20" i="1"/>
  <c r="G6" i="1"/>
  <c r="F12" i="1"/>
  <c r="F11" i="1"/>
  <c r="B24" i="10"/>
  <c r="B25" i="10" s="1"/>
  <c r="F30" i="1" l="1"/>
  <c r="G15" i="1"/>
  <c r="F27" i="1"/>
  <c r="F28" i="1" s="1"/>
  <c r="G4" i="14"/>
  <c r="D50" i="3"/>
  <c r="D50" i="10"/>
  <c r="G46" i="3"/>
  <c r="H9" i="1"/>
  <c r="H21" i="1" s="1"/>
  <c r="H20" i="1"/>
  <c r="D34" i="2"/>
  <c r="D31" i="2"/>
  <c r="F45" i="10"/>
  <c r="G45" i="10" s="1"/>
  <c r="H6" i="1"/>
  <c r="G12" i="1"/>
  <c r="G11" i="1"/>
  <c r="G27" i="1" l="1"/>
  <c r="G28" i="1" s="1"/>
  <c r="H15" i="1"/>
  <c r="G30" i="1"/>
  <c r="H12" i="1"/>
  <c r="H11" i="1"/>
  <c r="F46" i="10"/>
  <c r="G46" i="10" s="1"/>
  <c r="H45" i="10"/>
  <c r="I45" i="10" s="1"/>
  <c r="B46" i="10" s="1"/>
  <c r="D38" i="2"/>
  <c r="D39" i="2" s="1"/>
  <c r="D46" i="2"/>
  <c r="D35" i="2"/>
  <c r="H46" i="3"/>
  <c r="I46" i="3" s="1"/>
  <c r="B47" i="3" s="1"/>
  <c r="F47" i="3"/>
  <c r="D51" i="10"/>
  <c r="D51" i="3"/>
  <c r="H27" i="1" l="1"/>
  <c r="H28" i="1" s="1"/>
  <c r="B35" i="1" s="1"/>
  <c r="H30" i="1"/>
  <c r="B34" i="1" a="1"/>
  <c r="B34" i="1" s="1"/>
  <c r="D48" i="2"/>
  <c r="D40" i="2"/>
  <c r="D52" i="3"/>
  <c r="D52" i="10"/>
  <c r="G47" i="3"/>
  <c r="H46" i="10"/>
  <c r="I46" i="10" s="1"/>
  <c r="B47" i="10" s="1"/>
  <c r="F47" i="10"/>
  <c r="G47" i="10" s="1"/>
  <c r="F48" i="10" l="1"/>
  <c r="G48" i="10" s="1"/>
  <c r="H47" i="10"/>
  <c r="I47" i="10" s="1"/>
  <c r="B48" i="10" s="1"/>
  <c r="F48" i="3"/>
  <c r="H47" i="3"/>
  <c r="I47" i="3" s="1"/>
  <c r="B48" i="3" s="1"/>
  <c r="D53" i="10"/>
  <c r="D49" i="2"/>
  <c r="D51" i="2"/>
  <c r="D53" i="3"/>
  <c r="D54" i="10" l="1"/>
  <c r="D54" i="3"/>
  <c r="D53" i="2"/>
  <c r="D55" i="2" s="1"/>
  <c r="D56" i="2" s="1"/>
  <c r="H48" i="10"/>
  <c r="I48" i="10" s="1"/>
  <c r="B49" i="10" s="1"/>
  <c r="F49" i="10"/>
  <c r="G49" i="10" s="1"/>
  <c r="G48" i="3"/>
  <c r="F50" i="10" l="1"/>
  <c r="G50" i="10" s="1"/>
  <c r="H49" i="10"/>
  <c r="I49" i="10" s="1"/>
  <c r="B50" i="10" s="1"/>
  <c r="D55" i="10"/>
  <c r="F49" i="3"/>
  <c r="H48" i="3"/>
  <c r="I48" i="3" s="1"/>
  <c r="B49" i="3" s="1"/>
  <c r="D55" i="3"/>
  <c r="G49" i="3" l="1"/>
  <c r="D56" i="3"/>
  <c r="D56" i="10"/>
  <c r="H50" i="10"/>
  <c r="I50" i="10" s="1"/>
  <c r="B51" i="10" s="1"/>
  <c r="F51" i="10"/>
  <c r="G51" i="10" s="1"/>
  <c r="D57" i="10" l="1"/>
  <c r="D57" i="3"/>
  <c r="F52" i="10"/>
  <c r="G52" i="10" s="1"/>
  <c r="H51" i="10"/>
  <c r="I51" i="10" s="1"/>
  <c r="B52" i="10" s="1"/>
  <c r="H49" i="3"/>
  <c r="I49" i="3" s="1"/>
  <c r="B50" i="3" s="1"/>
  <c r="F50" i="3"/>
  <c r="G50" i="3" s="1"/>
  <c r="D58" i="3" l="1"/>
  <c r="H50" i="3"/>
  <c r="I50" i="3" s="1"/>
  <c r="B51" i="3" s="1"/>
  <c r="F51" i="3"/>
  <c r="G51" i="3" s="1"/>
  <c r="H52" i="10"/>
  <c r="I52" i="10" s="1"/>
  <c r="B53" i="10" s="1"/>
  <c r="F53" i="10"/>
  <c r="G53" i="10" s="1"/>
  <c r="D58" i="10"/>
  <c r="D59" i="10" l="1"/>
  <c r="F54" i="10"/>
  <c r="G54" i="10" s="1"/>
  <c r="H53" i="10"/>
  <c r="I53" i="10" s="1"/>
  <c r="B54" i="10" s="1"/>
  <c r="F52" i="3"/>
  <c r="G52" i="3" s="1"/>
  <c r="H51" i="3"/>
  <c r="I51" i="3" s="1"/>
  <c r="B52" i="3" s="1"/>
  <c r="D59" i="3"/>
  <c r="H54" i="10" l="1"/>
  <c r="I54" i="10" s="1"/>
  <c r="B55" i="10" s="1"/>
  <c r="F55" i="10"/>
  <c r="G55" i="10" s="1"/>
  <c r="D60" i="3"/>
  <c r="H52" i="3"/>
  <c r="I52" i="3" s="1"/>
  <c r="B53" i="3" s="1"/>
  <c r="F53" i="3"/>
  <c r="G53" i="3" s="1"/>
  <c r="D60" i="10"/>
  <c r="D61" i="10" l="1"/>
  <c r="F54" i="3"/>
  <c r="G54" i="3" s="1"/>
  <c r="H53" i="3"/>
  <c r="I53" i="3" s="1"/>
  <c r="B54" i="3" s="1"/>
  <c r="D61" i="3"/>
  <c r="F56" i="10"/>
  <c r="G56" i="10" s="1"/>
  <c r="H55" i="10"/>
  <c r="I55" i="10" s="1"/>
  <c r="B56" i="10" s="1"/>
  <c r="H56" i="10" l="1"/>
  <c r="I56" i="10" s="1"/>
  <c r="B57" i="10" s="1"/>
  <c r="F57" i="10"/>
  <c r="G57" i="10" s="1"/>
  <c r="H54" i="3"/>
  <c r="I54" i="3" s="1"/>
  <c r="B55" i="3" s="1"/>
  <c r="F55" i="3"/>
  <c r="D62" i="3"/>
  <c r="D62" i="10"/>
  <c r="E11" i="2" l="1"/>
  <c r="D63" i="10"/>
  <c r="D63" i="3"/>
  <c r="G55" i="3"/>
  <c r="D14" i="8"/>
  <c r="F58" i="10"/>
  <c r="G58" i="10" s="1"/>
  <c r="H57" i="10"/>
  <c r="I57" i="10" s="1"/>
  <c r="B58" i="10" s="1"/>
  <c r="H58" i="10" l="1"/>
  <c r="I58" i="10" s="1"/>
  <c r="B59" i="10" s="1"/>
  <c r="F59" i="10"/>
  <c r="G59" i="10" s="1"/>
  <c r="D64" i="3"/>
  <c r="F56" i="3"/>
  <c r="I55" i="3"/>
  <c r="B56" i="3" s="1"/>
  <c r="H55" i="3"/>
  <c r="D64" i="10"/>
  <c r="D13" i="8"/>
  <c r="D4" i="8" s="1"/>
  <c r="E15" i="2"/>
  <c r="D10" i="7"/>
  <c r="D4" i="7" s="1"/>
  <c r="E23" i="2" s="1"/>
  <c r="E12" i="2"/>
  <c r="D8" i="6"/>
  <c r="D12" i="6" s="1"/>
  <c r="D5" i="6" s="1"/>
  <c r="D4" i="6" s="1"/>
  <c r="E17" i="2" s="1"/>
  <c r="D18" i="8" l="1"/>
  <c r="F60" i="10"/>
  <c r="G60" i="10" s="1"/>
  <c r="H59" i="10"/>
  <c r="I59" i="10" s="1"/>
  <c r="B60" i="10" s="1"/>
  <c r="E18" i="2"/>
  <c r="D65" i="10"/>
  <c r="D65" i="3"/>
  <c r="G56" i="3"/>
  <c r="E21" i="2"/>
  <c r="D19" i="8" l="1"/>
  <c r="D16" i="14"/>
  <c r="F57" i="3"/>
  <c r="H56" i="3"/>
  <c r="I56" i="3" s="1"/>
  <c r="B57" i="3" s="1"/>
  <c r="D66" i="3"/>
  <c r="E27" i="2"/>
  <c r="E22" i="2"/>
  <c r="D66" i="10"/>
  <c r="H60" i="10"/>
  <c r="I60" i="10"/>
  <c r="B61" i="10" s="1"/>
  <c r="F61" i="10"/>
  <c r="G61" i="10" s="1"/>
  <c r="E19" i="2"/>
  <c r="E26" i="2"/>
  <c r="E24" i="2"/>
  <c r="E28" i="2" l="1"/>
  <c r="D17" i="14"/>
  <c r="G57" i="3"/>
  <c r="E30" i="2"/>
  <c r="F62" i="10"/>
  <c r="G62" i="10" s="1"/>
  <c r="H61" i="10"/>
  <c r="I61" i="10" s="1"/>
  <c r="B62" i="10" s="1"/>
  <c r="D67" i="10"/>
  <c r="D67" i="3"/>
  <c r="F58" i="3" l="1"/>
  <c r="H57" i="3"/>
  <c r="I57" i="3"/>
  <c r="B58" i="3" s="1"/>
  <c r="D68" i="10"/>
  <c r="E31" i="2"/>
  <c r="E34" i="2"/>
  <c r="H62" i="10"/>
  <c r="I62" i="10" s="1"/>
  <c r="B63" i="10" s="1"/>
  <c r="F63" i="10"/>
  <c r="G63" i="10" s="1"/>
  <c r="D68" i="3"/>
  <c r="E46" i="2" l="1"/>
  <c r="E38" i="2"/>
  <c r="E39" i="2" s="1"/>
  <c r="E35" i="2"/>
  <c r="G58" i="3"/>
  <c r="F64" i="10"/>
  <c r="G64" i="10" s="1"/>
  <c r="H63" i="10"/>
  <c r="I63" i="10" s="1"/>
  <c r="B64" i="10" s="1"/>
  <c r="D69" i="3"/>
  <c r="D69" i="10"/>
  <c r="E40" i="2" l="1"/>
  <c r="E48" i="2"/>
  <c r="D70" i="10"/>
  <c r="H58" i="3"/>
  <c r="I58" i="3" s="1"/>
  <c r="B59" i="3" s="1"/>
  <c r="F59" i="3"/>
  <c r="H64" i="10"/>
  <c r="I64" i="10" s="1"/>
  <c r="B65" i="10" s="1"/>
  <c r="F65" i="10"/>
  <c r="G65" i="10" s="1"/>
  <c r="D70" i="3"/>
  <c r="F66" i="10" l="1"/>
  <c r="G66" i="10" s="1"/>
  <c r="H65" i="10"/>
  <c r="I65" i="10" s="1"/>
  <c r="B66" i="10" s="1"/>
  <c r="E51" i="2"/>
  <c r="E49" i="2"/>
  <c r="D71" i="3"/>
  <c r="D71" i="10"/>
  <c r="G59" i="3"/>
  <c r="E53" i="2" l="1"/>
  <c r="E55" i="2" s="1"/>
  <c r="E56" i="2" s="1"/>
  <c r="D72" i="3"/>
  <c r="H66" i="10"/>
  <c r="I66" i="10" s="1"/>
  <c r="B67" i="10" s="1"/>
  <c r="F67" i="10"/>
  <c r="G67" i="10" s="1"/>
  <c r="D72" i="10"/>
  <c r="F60" i="3"/>
  <c r="H59" i="3"/>
  <c r="I59" i="3" s="1"/>
  <c r="B60" i="3" s="1"/>
  <c r="G60" i="3" l="1"/>
  <c r="F68" i="10"/>
  <c r="G68" i="10" s="1"/>
  <c r="H67" i="10"/>
  <c r="I67" i="10" s="1"/>
  <c r="B68" i="10" s="1"/>
  <c r="D73" i="10"/>
  <c r="D73" i="3"/>
  <c r="D74" i="3" l="1"/>
  <c r="F61" i="3"/>
  <c r="G61" i="3" s="1"/>
  <c r="H60" i="3"/>
  <c r="I60" i="3" s="1"/>
  <c r="B61" i="3" s="1"/>
  <c r="H68" i="10"/>
  <c r="I68" i="10" s="1"/>
  <c r="B69" i="10" s="1"/>
  <c r="F69" i="10"/>
  <c r="G69" i="10" s="1"/>
  <c r="D74" i="10"/>
  <c r="H61" i="3" l="1"/>
  <c r="I61" i="3" s="1"/>
  <c r="B62" i="3" s="1"/>
  <c r="F62" i="3"/>
  <c r="G62" i="3" s="1"/>
  <c r="D75" i="10"/>
  <c r="D75" i="3"/>
  <c r="F70" i="10"/>
  <c r="G70" i="10" s="1"/>
  <c r="H69" i="10"/>
  <c r="I69" i="10" s="1"/>
  <c r="B70" i="10" s="1"/>
  <c r="D76" i="3" l="1"/>
  <c r="H62" i="3"/>
  <c r="I62" i="3" s="1"/>
  <c r="B63" i="3" s="1"/>
  <c r="F63" i="3"/>
  <c r="G63" i="3" s="1"/>
  <c r="D76" i="10"/>
  <c r="H70" i="10"/>
  <c r="I70" i="10" s="1"/>
  <c r="B71" i="10" s="1"/>
  <c r="F71" i="10"/>
  <c r="G71" i="10" s="1"/>
  <c r="F72" i="10" l="1"/>
  <c r="G72" i="10" s="1"/>
  <c r="H71" i="10"/>
  <c r="I71" i="10" s="1"/>
  <c r="B72" i="10" s="1"/>
  <c r="D77" i="10"/>
  <c r="F64" i="3"/>
  <c r="G64" i="3" s="1"/>
  <c r="H63" i="3"/>
  <c r="I63" i="3" s="1"/>
  <c r="B64" i="3" s="1"/>
  <c r="D77" i="3"/>
  <c r="D78" i="3" l="1"/>
  <c r="D78" i="10"/>
  <c r="H64" i="3"/>
  <c r="I64" i="3" s="1"/>
  <c r="B65" i="3" s="1"/>
  <c r="F65" i="3"/>
  <c r="G65" i="3" s="1"/>
  <c r="H72" i="10"/>
  <c r="F73" i="10"/>
  <c r="G73" i="10" s="1"/>
  <c r="I72" i="10"/>
  <c r="B73" i="10" s="1"/>
  <c r="F66" i="3" l="1"/>
  <c r="G66" i="3" s="1"/>
  <c r="H65" i="3"/>
  <c r="I65" i="3" s="1"/>
  <c r="B66" i="3" s="1"/>
  <c r="F74" i="10"/>
  <c r="G74" i="10" s="1"/>
  <c r="H73" i="10"/>
  <c r="I73" i="10" s="1"/>
  <c r="B74" i="10" s="1"/>
  <c r="D79" i="3"/>
  <c r="D79" i="10"/>
  <c r="H66" i="3" l="1"/>
  <c r="I66" i="3" s="1"/>
  <c r="B67" i="3" s="1"/>
  <c r="F67" i="3"/>
  <c r="D80" i="10"/>
  <c r="H74" i="10"/>
  <c r="I74" i="10" s="1"/>
  <c r="B75" i="10" s="1"/>
  <c r="F75" i="10"/>
  <c r="G75" i="10" s="1"/>
  <c r="D80" i="3"/>
  <c r="F11" i="2" l="1"/>
  <c r="D81" i="10"/>
  <c r="D81" i="3"/>
  <c r="F76" i="10"/>
  <c r="G76" i="10" s="1"/>
  <c r="H75" i="10"/>
  <c r="I75" i="10" s="1"/>
  <c r="B76" i="10" s="1"/>
  <c r="G67" i="3"/>
  <c r="E14" i="8"/>
  <c r="H76" i="10" l="1"/>
  <c r="I76" i="10" s="1"/>
  <c r="B77" i="10" s="1"/>
  <c r="F77" i="10"/>
  <c r="G77" i="10" s="1"/>
  <c r="D82" i="10"/>
  <c r="F68" i="3"/>
  <c r="H67" i="3"/>
  <c r="I67" i="3" s="1"/>
  <c r="B68" i="3" s="1"/>
  <c r="D82" i="3"/>
  <c r="E8" i="6"/>
  <c r="E12" i="6" s="1"/>
  <c r="E5" i="6" s="1"/>
  <c r="E4" i="6" s="1"/>
  <c r="F17" i="2" s="1"/>
  <c r="F12" i="2"/>
  <c r="E13" i="8"/>
  <c r="E4" i="8" s="1"/>
  <c r="F15" i="2"/>
  <c r="E10" i="7"/>
  <c r="E4" i="7" s="1"/>
  <c r="F23" i="2" s="1"/>
  <c r="F18" i="2" l="1"/>
  <c r="F78" i="10"/>
  <c r="G78" i="10" s="1"/>
  <c r="H77" i="10"/>
  <c r="I77" i="10" s="1"/>
  <c r="B78" i="10" s="1"/>
  <c r="G68" i="3"/>
  <c r="D83" i="3"/>
  <c r="F21" i="2"/>
  <c r="E18" i="8"/>
  <c r="D83" i="10"/>
  <c r="E19" i="8" l="1"/>
  <c r="E16" i="14"/>
  <c r="F24" i="2"/>
  <c r="H78" i="10"/>
  <c r="I78" i="10" s="1"/>
  <c r="B79" i="10" s="1"/>
  <c r="F79" i="10"/>
  <c r="G79" i="10" s="1"/>
  <c r="F19" i="2"/>
  <c r="F26" i="2"/>
  <c r="F69" i="3"/>
  <c r="H68" i="3"/>
  <c r="I68" i="3" s="1"/>
  <c r="B69" i="3" s="1"/>
  <c r="D84" i="10"/>
  <c r="F27" i="2"/>
  <c r="F22" i="2"/>
  <c r="D84" i="3"/>
  <c r="F28" i="2" l="1"/>
  <c r="E17" i="14"/>
  <c r="D85" i="3"/>
  <c r="F80" i="10"/>
  <c r="G80" i="10" s="1"/>
  <c r="H79" i="10"/>
  <c r="I79" i="10" s="1"/>
  <c r="B80" i="10" s="1"/>
  <c r="D85" i="10"/>
  <c r="G69" i="3"/>
  <c r="F30" i="2"/>
  <c r="H80" i="10" l="1"/>
  <c r="I80" i="10" s="1"/>
  <c r="B81" i="10" s="1"/>
  <c r="F81" i="10"/>
  <c r="G81" i="10" s="1"/>
  <c r="D86" i="3"/>
  <c r="F70" i="3"/>
  <c r="H69" i="3"/>
  <c r="I69" i="3" s="1"/>
  <c r="B70" i="3" s="1"/>
  <c r="F31" i="2"/>
  <c r="F34" i="2"/>
  <c r="D86" i="10"/>
  <c r="D87" i="10" l="1"/>
  <c r="D87" i="3"/>
  <c r="G70" i="3"/>
  <c r="F35" i="2"/>
  <c r="F38" i="2"/>
  <c r="F46" i="2" s="1"/>
  <c r="G46" i="2" s="1"/>
  <c r="F82" i="10"/>
  <c r="G82" i="10" s="1"/>
  <c r="H81" i="10"/>
  <c r="I81" i="10" s="1"/>
  <c r="B82" i="10" s="1"/>
  <c r="F39" i="2" l="1"/>
  <c r="F48" i="2" s="1"/>
  <c r="H82" i="10"/>
  <c r="I82" i="10" s="1"/>
  <c r="B83" i="10" s="1"/>
  <c r="F83" i="10"/>
  <c r="G83" i="10" s="1"/>
  <c r="H70" i="3"/>
  <c r="F71" i="3"/>
  <c r="I70" i="3"/>
  <c r="B71" i="3" s="1"/>
  <c r="D88" i="10"/>
  <c r="D88" i="3"/>
  <c r="F40" i="2" l="1"/>
  <c r="D89" i="10"/>
  <c r="F84" i="10"/>
  <c r="G84" i="10" s="1"/>
  <c r="H83" i="10"/>
  <c r="I83" i="10" s="1"/>
  <c r="B84" i="10" s="1"/>
  <c r="D89" i="3"/>
  <c r="G71" i="3"/>
  <c r="F51" i="2"/>
  <c r="F49" i="2"/>
  <c r="H84" i="10" l="1"/>
  <c r="I84" i="10" s="1"/>
  <c r="B85" i="10" s="1"/>
  <c r="F85" i="10"/>
  <c r="G85" i="10" s="1"/>
  <c r="D90" i="3"/>
  <c r="F72" i="3"/>
  <c r="H71" i="3"/>
  <c r="I71" i="3" s="1"/>
  <c r="B72" i="3" s="1"/>
  <c r="D90" i="10"/>
  <c r="F53" i="2"/>
  <c r="F55" i="2" s="1"/>
  <c r="F56" i="2" s="1"/>
  <c r="F86" i="10" l="1"/>
  <c r="G86" i="10" s="1"/>
  <c r="H85" i="10"/>
  <c r="I85" i="10" s="1"/>
  <c r="B86" i="10" s="1"/>
  <c r="G72" i="3"/>
  <c r="D91" i="10"/>
  <c r="D91" i="3"/>
  <c r="F73" i="3" l="1"/>
  <c r="G73" i="3" s="1"/>
  <c r="H72" i="3"/>
  <c r="I72" i="3" s="1"/>
  <c r="B73" i="3" s="1"/>
  <c r="F87" i="10"/>
  <c r="G87" i="10" s="1"/>
  <c r="H86" i="10"/>
  <c r="I86" i="10" s="1"/>
  <c r="B87" i="10" s="1"/>
  <c r="F74" i="3" l="1"/>
  <c r="G74" i="3" s="1"/>
  <c r="H73" i="3"/>
  <c r="I73" i="3" s="1"/>
  <c r="B74" i="3" s="1"/>
  <c r="F88" i="10"/>
  <c r="G88" i="10" s="1"/>
  <c r="H87" i="10"/>
  <c r="I87" i="10" s="1"/>
  <c r="B88" i="10" s="1"/>
  <c r="H88" i="10" l="1"/>
  <c r="I88" i="10" s="1"/>
  <c r="B89" i="10" s="1"/>
  <c r="F89" i="10"/>
  <c r="G89" i="10" s="1"/>
  <c r="H74" i="3"/>
  <c r="I74" i="3" s="1"/>
  <c r="B75" i="3" s="1"/>
  <c r="F75" i="3"/>
  <c r="G75" i="3" s="1"/>
  <c r="F90" i="10" l="1"/>
  <c r="G90" i="10" s="1"/>
  <c r="H89" i="10"/>
  <c r="I89" i="10" s="1"/>
  <c r="B90" i="10" s="1"/>
  <c r="F76" i="3"/>
  <c r="G76" i="3" s="1"/>
  <c r="H75" i="3"/>
  <c r="I75" i="3" s="1"/>
  <c r="B76" i="3" s="1"/>
  <c r="F77" i="3" l="1"/>
  <c r="G77" i="3" s="1"/>
  <c r="H76" i="3"/>
  <c r="I76" i="3" s="1"/>
  <c r="B77" i="3" s="1"/>
  <c r="F91" i="10"/>
  <c r="G91" i="10" s="1"/>
  <c r="H90" i="10"/>
  <c r="I90" i="10" s="1"/>
  <c r="B91" i="10" s="1"/>
  <c r="H91" i="10" l="1"/>
  <c r="I91" i="10" s="1"/>
  <c r="F78" i="3"/>
  <c r="G78" i="3" s="1"/>
  <c r="H77" i="3"/>
  <c r="I77" i="3" s="1"/>
  <c r="B78" i="3" s="1"/>
  <c r="H78" i="3" l="1"/>
  <c r="I78" i="3" s="1"/>
  <c r="B79" i="3" s="1"/>
  <c r="F79" i="3"/>
  <c r="G11" i="2" l="1"/>
  <c r="G79" i="3"/>
  <c r="F14" i="8"/>
  <c r="F80" i="3" l="1"/>
  <c r="H79" i="3"/>
  <c r="I79" i="3" s="1"/>
  <c r="B80" i="3" s="1"/>
  <c r="F13" i="8"/>
  <c r="F4" i="8" s="1"/>
  <c r="F10" i="7"/>
  <c r="F4" i="7" s="1"/>
  <c r="G23" i="2" s="1"/>
  <c r="F8" i="6"/>
  <c r="F12" i="6" s="1"/>
  <c r="F5" i="6" s="1"/>
  <c r="F4" i="6" s="1"/>
  <c r="G17" i="2" s="1"/>
  <c r="G15" i="2"/>
  <c r="G12" i="2"/>
  <c r="G18" i="2" l="1"/>
  <c r="F18" i="8"/>
  <c r="G21" i="2"/>
  <c r="G80" i="3"/>
  <c r="F19" i="8" l="1"/>
  <c r="F16" i="14"/>
  <c r="G26" i="2"/>
  <c r="G19" i="2"/>
  <c r="G24" i="2"/>
  <c r="F81" i="3"/>
  <c r="H80" i="3"/>
  <c r="I80" i="3" s="1"/>
  <c r="B81" i="3" s="1"/>
  <c r="G22" i="2"/>
  <c r="G27" i="2"/>
  <c r="F17" i="14" s="1"/>
  <c r="G28" i="2" l="1"/>
  <c r="G30" i="2"/>
  <c r="G81" i="3"/>
  <c r="G34" i="2" l="1"/>
  <c r="G31" i="2"/>
  <c r="H81" i="3"/>
  <c r="I81" i="3" s="1"/>
  <c r="B82" i="3" s="1"/>
  <c r="F82" i="3"/>
  <c r="G82" i="3" l="1"/>
  <c r="G38" i="2"/>
  <c r="G39" i="2" s="1"/>
  <c r="G35" i="2"/>
  <c r="G48" i="2" l="1"/>
  <c r="G40" i="2"/>
  <c r="H82" i="3"/>
  <c r="I82" i="3" s="1"/>
  <c r="B83" i="3" s="1"/>
  <c r="F83" i="3"/>
  <c r="G83" i="3" l="1"/>
  <c r="G51" i="2"/>
  <c r="G49" i="2"/>
  <c r="F84" i="3" l="1"/>
  <c r="H83" i="3"/>
  <c r="I83" i="3" s="1"/>
  <c r="B84" i="3" s="1"/>
  <c r="G53" i="2"/>
  <c r="G55" i="2" s="1"/>
  <c r="G56" i="2" s="1"/>
  <c r="G84" i="3" l="1"/>
  <c r="H84" i="3" l="1"/>
  <c r="I84" i="3" s="1"/>
  <c r="B85" i="3" s="1"/>
  <c r="F85" i="3"/>
  <c r="G85" i="3" s="1"/>
  <c r="F86" i="3" l="1"/>
  <c r="G86" i="3" s="1"/>
  <c r="H85" i="3"/>
  <c r="I85" i="3" s="1"/>
  <c r="B86" i="3" s="1"/>
  <c r="H86" i="3" l="1"/>
  <c r="F87" i="3"/>
  <c r="G87" i="3" s="1"/>
  <c r="I86" i="3"/>
  <c r="B87" i="3" s="1"/>
  <c r="F88" i="3" l="1"/>
  <c r="G88" i="3" s="1"/>
  <c r="H87" i="3"/>
  <c r="I87" i="3" s="1"/>
  <c r="B88" i="3" s="1"/>
  <c r="F89" i="3" l="1"/>
  <c r="G89" i="3" s="1"/>
  <c r="H88" i="3"/>
  <c r="I88" i="3" s="1"/>
  <c r="B89" i="3" s="1"/>
  <c r="F90" i="3" l="1"/>
  <c r="G90" i="3" s="1"/>
  <c r="H89" i="3"/>
  <c r="I89" i="3" s="1"/>
  <c r="B90" i="3" s="1"/>
  <c r="H90" i="3" l="1"/>
  <c r="I90" i="3" s="1"/>
  <c r="B91" i="3" s="1"/>
  <c r="H11" i="2" s="1"/>
  <c r="F91" i="3"/>
  <c r="G10" i="7" l="1"/>
  <c r="G4" i="7" s="1"/>
  <c r="H23" i="2" s="1"/>
  <c r="G8" i="6"/>
  <c r="G12" i="6" s="1"/>
  <c r="G5" i="6" s="1"/>
  <c r="G4" i="6" s="1"/>
  <c r="H17" i="2" s="1"/>
  <c r="H15" i="2"/>
  <c r="H12" i="2"/>
  <c r="G13" i="8"/>
  <c r="G91" i="3"/>
  <c r="G14" i="8"/>
  <c r="H18" i="2" l="1"/>
  <c r="H91" i="3"/>
  <c r="I91" i="3" s="1"/>
  <c r="G4" i="8"/>
  <c r="G18" i="8"/>
  <c r="H26" i="2" l="1"/>
  <c r="G16" i="14"/>
  <c r="H19" i="2"/>
  <c r="H24" i="2"/>
  <c r="G19" i="8"/>
  <c r="H21" i="2"/>
  <c r="H27" i="2" l="1"/>
  <c r="G17" i="14" s="1"/>
  <c r="H22" i="2"/>
  <c r="H28" i="2" l="1"/>
  <c r="H30" i="2"/>
  <c r="H34" i="2" l="1"/>
  <c r="H31" i="2"/>
  <c r="H38" i="2" l="1"/>
  <c r="H39" i="2" s="1"/>
  <c r="H35" i="2"/>
  <c r="H48" i="2" l="1"/>
  <c r="H40" i="2"/>
  <c r="H49" i="2" l="1"/>
  <c r="H50" i="2"/>
  <c r="H51" i="2" s="1"/>
  <c r="H53" i="2" l="1"/>
  <c r="H55" i="2" s="1"/>
  <c r="H56" i="2" s="1"/>
  <c r="C59" i="2" s="1"/>
  <c r="F2" i="2" s="1"/>
  <c r="F1" i="2"/>
  <c r="C2" i="2" a="1"/>
  <c r="C2" i="2" s="1"/>
  <c r="C62" i="2" s="1"/>
</calcChain>
</file>

<file path=xl/sharedStrings.xml><?xml version="1.0" encoding="utf-8"?>
<sst xmlns="http://schemas.openxmlformats.org/spreadsheetml/2006/main" count="381" uniqueCount="270">
  <si>
    <t>Mercado potencial</t>
  </si>
  <si>
    <t>Ka = rf + ba  E(Rm – Rf)</t>
  </si>
  <si>
    <t>Tasa de Descuento</t>
  </si>
  <si>
    <t>β_a=E/(E+D) β_e+D/(E+D) β_d</t>
  </si>
  <si>
    <t>Gastos de Administración</t>
  </si>
  <si>
    <t>The Hybrid Model, with Retention and Virality Curves</t>
  </si>
  <si>
    <t>Rf</t>
  </si>
  <si>
    <t>Variables</t>
  </si>
  <si>
    <t>http://www.bloomberg.com/markets/rates-bonds/government-bonds/us/</t>
  </si>
  <si>
    <t>Gastos de Producción</t>
  </si>
  <si>
    <t>Año 0</t>
  </si>
  <si>
    <t>Gastos de Marketing</t>
  </si>
  <si>
    <t>%Sales</t>
  </si>
  <si>
    <t>Año 1</t>
  </si>
  <si>
    <t>Año 2</t>
  </si>
  <si>
    <t>Año 3</t>
  </si>
  <si>
    <t>Año 4</t>
  </si>
  <si>
    <t>Año 5</t>
  </si>
  <si>
    <t>Total Gastos de Producción</t>
  </si>
  <si>
    <t>TIR</t>
  </si>
  <si>
    <t>Usuarios de LinkedIn Oct14</t>
  </si>
  <si>
    <t>CPM Growth [%]</t>
  </si>
  <si>
    <t>CPM [USD/1000impresiones]</t>
  </si>
  <si>
    <t>http://press.linkedin.com/about</t>
  </si>
  <si>
    <t>Usuarios LATAM</t>
  </si>
  <si>
    <t>Riesgo País (ARG)</t>
  </si>
  <si>
    <t>http://www.ambito.com/economia/mercados/riesgo-pais/info/?id=2</t>
  </si>
  <si>
    <t>Rm - Rf</t>
  </si>
  <si>
    <t>Total Gastos de Marketing</t>
  </si>
  <si>
    <t>Launch press</t>
  </si>
  <si>
    <t>Beta a (Software Internet)</t>
  </si>
  <si>
    <t>http://people.stern.nyu.edu/adamodar/New_Home_Page/datafile/Betas.html</t>
  </si>
  <si>
    <t>Ka</t>
  </si>
  <si>
    <t>App store search growth</t>
  </si>
  <si>
    <t>App store downloads / month</t>
  </si>
  <si>
    <t>% who activate</t>
  </si>
  <si>
    <t>App store search growth / week</t>
  </si>
  <si>
    <t>Direct traffic growth</t>
  </si>
  <si>
    <t>Direct traffic downloads / week</t>
  </si>
  <si>
    <t>Total Gastos de Administración</t>
  </si>
  <si>
    <t>Direct traffic growth / week</t>
  </si>
  <si>
    <t>Mercado Potencial</t>
  </si>
  <si>
    <t>Virality</t>
  </si>
  <si>
    <t>Viral factor decay</t>
  </si>
  <si>
    <t>Usuarios Potenciales</t>
  </si>
  <si>
    <t>Sueldo CEO</t>
  </si>
  <si>
    <t>Viral factor month 1</t>
  </si>
  <si>
    <t>Viral factor month 2</t>
  </si>
  <si>
    <t>Sueldo CCO</t>
  </si>
  <si>
    <t>% que ingresa 1 vez a la semana</t>
  </si>
  <si>
    <t>Viral factor month 3</t>
  </si>
  <si>
    <t>Viral factor month 4</t>
  </si>
  <si>
    <t>Viral factor month 5</t>
  </si>
  <si>
    <t>Viral factor month 6</t>
  </si>
  <si>
    <t>Lifetime viral factor</t>
  </si>
  <si>
    <t>Costo Mensual Servidor + SQL + Mantenimiento</t>
  </si>
  <si>
    <t>http://expandedramblings.com/index.php/by-the-numbers-a-few-important-linkedin-stats/</t>
  </si>
  <si>
    <t>VAN</t>
  </si>
  <si>
    <t>Retention</t>
  </si>
  <si>
    <t>Retention month 0 -&gt; 1</t>
  </si>
  <si>
    <t>Retention month 0 -&gt; 2</t>
  </si>
  <si>
    <t>Retention month 0 -&gt; 3</t>
  </si>
  <si>
    <t>Tiempo en MeshUp [min/dia]</t>
  </si>
  <si>
    <t>Usuarios diarios / Usuarios totales</t>
  </si>
  <si>
    <t>Sueldo Vendedor 1</t>
  </si>
  <si>
    <t>Sueldo Vendedor 2</t>
  </si>
  <si>
    <t>Sueldo Vendedor 3</t>
  </si>
  <si>
    <t>Incentivo x Objetivos (hasta 2 sueldos)</t>
  </si>
  <si>
    <t>#impresiones/día</t>
  </si>
  <si>
    <t>Eventos</t>
  </si>
  <si>
    <t>Alquiler oficina (Barrio Belgrano)</t>
  </si>
  <si>
    <t>Servicios (Agua/Luz/Internet)</t>
  </si>
  <si>
    <t>Merchandising</t>
  </si>
  <si>
    <t>Share del Inversor (año 5)</t>
  </si>
  <si>
    <t>Materiales de oficina</t>
  </si>
  <si>
    <t>Cuenta bancaria</t>
  </si>
  <si>
    <t>Retention month 0 -&gt; 4</t>
  </si>
  <si>
    <t>Cobranzas</t>
  </si>
  <si>
    <t>Retention month 0 -&gt; 5</t>
  </si>
  <si>
    <t>Retention month 0 -&gt; 6</t>
  </si>
  <si>
    <t>Sueldo CTO</t>
  </si>
  <si>
    <t>Output</t>
  </si>
  <si>
    <t>Month</t>
  </si>
  <si>
    <t>Cantidad de Usuarios / Servidor</t>
  </si>
  <si>
    <t>Users (month start)</t>
  </si>
  <si>
    <t>Servicios Abogados</t>
  </si>
  <si>
    <t>Servicios Contables</t>
  </si>
  <si>
    <t>Inscripción IGJ</t>
  </si>
  <si>
    <t>Registro de Marca</t>
  </si>
  <si>
    <t>App store</t>
  </si>
  <si>
    <t>Direct traffic</t>
  </si>
  <si>
    <t>Viral growth</t>
  </si>
  <si>
    <t>Gross growth</t>
  </si>
  <si>
    <t>Loss</t>
  </si>
  <si>
    <t>Net growth</t>
  </si>
  <si>
    <t>Comments</t>
  </si>
  <si>
    <t>http://monetizepros.com/blog/2014/average-cpm-rates/</t>
  </si>
  <si>
    <t>http://adexchanger.com/agencies/2014-forecasts-global-ad-dollars-surge-driven-by-mobile-social/</t>
  </si>
  <si>
    <t>http://techcrunch.com/2014/09/16/time-spent-in-apps-up-21-over-last-year/</t>
  </si>
  <si>
    <t>FASE</t>
  </si>
  <si>
    <t>Retención ("Welcome Limited Invited Member") (c)</t>
  </si>
  <si>
    <t>Inversión</t>
  </si>
  <si>
    <t>Ambiente Controlado</t>
  </si>
  <si>
    <t>Aplicación en el mercado</t>
  </si>
  <si>
    <t>Retencion ("Welcome Unlimited Invited Members") (c)</t>
  </si>
  <si>
    <t>Sueldo CPO (Chief Psicological Officer)</t>
  </si>
  <si>
    <t>Sueldo Programador 1</t>
  </si>
  <si>
    <t>Sueldo Programador 2</t>
  </si>
  <si>
    <t>Usuarios Argentina</t>
  </si>
  <si>
    <t>Incentivo x Invitaciones (i)</t>
  </si>
  <si>
    <t>Costo Mensual Tester Application</t>
  </si>
  <si>
    <t>Dominio (www.meshup.co)</t>
  </si>
  <si>
    <t>Costo x hora creación contenidos</t>
  </si>
  <si>
    <t>Servidores + Base de datos</t>
  </si>
  <si>
    <t>http://www.socialbakers.com/linkedin-statistics/</t>
  </si>
  <si>
    <t>Usuarios activos ARG</t>
  </si>
  <si>
    <t>Creación de contenidos</t>
  </si>
  <si>
    <t>Add Words</t>
  </si>
  <si>
    <t>Menciones de Celebrities</t>
  </si>
  <si>
    <t>Costo por usuario (C.A.C.)</t>
  </si>
  <si>
    <t>Desarrollo "New Features"</t>
  </si>
  <si>
    <t>Usuarios Activos BUE</t>
  </si>
  <si>
    <t>Publicación "La Nación" Tecnología</t>
  </si>
  <si>
    <t>Crecimiento Usuarios ARG</t>
  </si>
  <si>
    <t>Testing (App Usuario + App Restaurants)</t>
  </si>
  <si>
    <t>AÑO 0</t>
  </si>
  <si>
    <t>Supuesto</t>
  </si>
  <si>
    <t>Penetración LInkedin ARG</t>
  </si>
  <si>
    <t>Penetración LInkedin ARG mayores 20</t>
  </si>
  <si>
    <t>AÑO 1</t>
  </si>
  <si>
    <t>AÑO 2</t>
  </si>
  <si>
    <t>AÑO 3</t>
  </si>
  <si>
    <t>AÑO 4</t>
  </si>
  <si>
    <t>AÑO 5</t>
  </si>
  <si>
    <t>Usuarios Brazil Oct14</t>
  </si>
  <si>
    <t>Ticket promedio por encuentro (USD)</t>
  </si>
  <si>
    <t>% de Ticket para Inlight.me</t>
  </si>
  <si>
    <t>Usarios Iniciales - MeshUp Kickoff UTDT</t>
  </si>
  <si>
    <t>Encuentros anuales</t>
  </si>
  <si>
    <t>Crecimiento Target Potencial</t>
  </si>
  <si>
    <t>Celebrity Endorsement: "Estanilao Bachrach"</t>
  </si>
  <si>
    <t>Usuarios encontrandose anualmente</t>
  </si>
  <si>
    <t>Nuevos Usuarios x Invitaciones (Q1&amp;2)</t>
  </si>
  <si>
    <t>Resto + Bares Asociados</t>
  </si>
  <si>
    <t>Usuarios encontrandose anualmente % de usuarios activos Lnkd ARG</t>
  </si>
  <si>
    <t>Nuevos Usuarios x Invitaciones (Q3&amp;4)</t>
  </si>
  <si>
    <t>Usuarios encontrandose anualmente % de usuarios activos Lnkd BUE</t>
  </si>
  <si>
    <t>Año</t>
  </si>
  <si>
    <t>Cantidad de Usuarios</t>
  </si>
  <si>
    <t>Pop/pop</t>
  </si>
  <si>
    <t>Monthly/Monthly</t>
  </si>
  <si>
    <t>Costo</t>
  </si>
  <si>
    <t>SP/BR</t>
  </si>
  <si>
    <t xml:space="preserve">Celebrity Endorsement:
Andy Freire </t>
  </si>
  <si>
    <t>% / Potencial Mercado</t>
  </si>
  <si>
    <t>Costo App</t>
  </si>
  <si>
    <t>Restaurantes</t>
  </si>
  <si>
    <t>&lt;- www.restorando.com.ar</t>
  </si>
  <si>
    <t>Havanna</t>
  </si>
  <si>
    <t>&lt;- google.maps.com</t>
  </si>
  <si>
    <t>Bares</t>
  </si>
  <si>
    <t>Starbucks</t>
  </si>
  <si>
    <t>BA/AR</t>
  </si>
  <si>
    <t xml:space="preserve">Cadena de Café </t>
  </si>
  <si>
    <t>Publicidad</t>
  </si>
  <si>
    <t>NY</t>
  </si>
  <si>
    <t>Tienda de Cafe</t>
  </si>
  <si>
    <t>Ingresos x Fee Restaurant</t>
  </si>
  <si>
    <t>Ingreso</t>
  </si>
  <si>
    <t>Lima</t>
  </si>
  <si>
    <t>Resultado Bruto</t>
  </si>
  <si>
    <t>Total Potencial</t>
  </si>
  <si>
    <t>Encuentros anuales requeridos para PE</t>
  </si>
  <si>
    <t>Cafe Martinez</t>
  </si>
  <si>
    <t>Ingresos x Ranking</t>
  </si>
  <si>
    <t>Tea Connection</t>
  </si>
  <si>
    <t>Ingresos x Publicidad</t>
  </si>
  <si>
    <t>Encuentros diarios requeridos para PE</t>
  </si>
  <si>
    <t>Tasa de descuento</t>
  </si>
  <si>
    <t>Valor actual (USD)</t>
  </si>
  <si>
    <t>Ingresos</t>
  </si>
  <si>
    <t>Crecimiento anual [%]</t>
  </si>
  <si>
    <t>MeshUp Event</t>
  </si>
  <si>
    <t>Ingreso incremental anual para los restaurantes (USD)</t>
  </si>
  <si>
    <t>Ticket Promedio por encuentro (USD)</t>
  </si>
  <si>
    <t>Ticket Promedio</t>
  </si>
  <si>
    <t>Desayuno</t>
  </si>
  <si>
    <t>Almuerzo</t>
  </si>
  <si>
    <t>Te</t>
  </si>
  <si>
    <t>Cena</t>
  </si>
  <si>
    <t xml:space="preserve">  % sobre Ingresos</t>
  </si>
  <si>
    <t>% Fee MeshUp</t>
  </si>
  <si>
    <t>Ticket "Welcome Invited Members"</t>
  </si>
  <si>
    <t>Reward x Invitation</t>
  </si>
  <si>
    <t># invitaciones</t>
  </si>
  <si>
    <t>Gastos</t>
  </si>
  <si>
    <t>Efectividad Invitaciones (1° Ronda)</t>
  </si>
  <si>
    <t>Efectividad Invitaciones (2° Ronda)</t>
  </si>
  <si>
    <t>EBITDA</t>
  </si>
  <si>
    <t>Meetups promedio anual / usuario</t>
  </si>
  <si>
    <t>Depreciaciones</t>
  </si>
  <si>
    <t>Crecimiento Terminal (g)</t>
  </si>
  <si>
    <t>EBIT</t>
  </si>
  <si>
    <t>Cantidad de Comunas</t>
  </si>
  <si>
    <t>% IGA</t>
  </si>
  <si>
    <t>IGA</t>
  </si>
  <si>
    <t>Net Profit</t>
  </si>
  <si>
    <t>Posición en Ranking</t>
  </si>
  <si>
    <t>1°</t>
  </si>
  <si>
    <t>2°</t>
  </si>
  <si>
    <t>Inversiones</t>
  </si>
  <si>
    <t>3°</t>
  </si>
  <si>
    <t>4°</t>
  </si>
  <si>
    <t>Quebrantos IGA</t>
  </si>
  <si>
    <t>5°</t>
  </si>
  <si>
    <t>Flujo de Fondos Libre</t>
  </si>
  <si>
    <t>Crecimiento FFL</t>
  </si>
  <si>
    <t>Valor Terminal</t>
  </si>
  <si>
    <t>Flujo de Fondos Total</t>
  </si>
  <si>
    <t>Inversión Total</t>
  </si>
  <si>
    <t>Capital Emprendedor</t>
  </si>
  <si>
    <t>Capital Inversor</t>
  </si>
  <si>
    <t>Monto de inversión Inversor</t>
  </si>
  <si>
    <t>Tasa solicitada por Inversor</t>
  </si>
  <si>
    <t>Desarrollo App Puntos Mesh Up</t>
  </si>
  <si>
    <t>Desarrollo App Usuarios</t>
  </si>
  <si>
    <t>Ingresos por Publicidad</t>
  </si>
  <si>
    <t>Cantidad de usuarios</t>
  </si>
  <si>
    <t>Impresiones [# / minuto]</t>
  </si>
  <si>
    <t>CPM anual [USD]</t>
  </si>
  <si>
    <t>CPM diario [USD]</t>
  </si>
  <si>
    <t>[USD]</t>
  </si>
  <si>
    <t>Sueldos</t>
  </si>
  <si>
    <t>Total Sueldos</t>
  </si>
  <si>
    <t>Total Sueldos [% Ingresos]</t>
  </si>
  <si>
    <t>Total Sueldos [% Gastos]</t>
  </si>
  <si>
    <t>Total Mensual/ Comunas</t>
  </si>
  <si>
    <t>Total Ingreso Anual</t>
  </si>
  <si>
    <t>% Total Bares&amp;Restaurantes CABA</t>
  </si>
  <si>
    <t>https://adwords.google.com/ko/KeywordPlanner/</t>
  </si>
  <si>
    <t>http://searchenginewatch.com/sew/study/2345837/google-search-engine-market-share-nears-68</t>
  </si>
  <si>
    <t>Google's Share</t>
  </si>
  <si>
    <t>Total / Year</t>
  </si>
  <si>
    <t>Google Total / Year</t>
  </si>
  <si>
    <t>Google Total</t>
  </si>
  <si>
    <t>125.6%</t>
  </si>
  <si>
    <t>cómo</t>
  </si>
  <si>
    <t>0.0%</t>
  </si>
  <si>
    <t>alguien para</t>
  </si>
  <si>
    <t>alguien conoce</t>
  </si>
  <si>
    <t>no se como</t>
  </si>
  <si>
    <t>150.0%</t>
  </si>
  <si>
    <t>cómo hago</t>
  </si>
  <si>
    <t>busco</t>
  </si>
  <si>
    <t>conocer</t>
  </si>
  <si>
    <t>necesito</t>
  </si>
  <si>
    <t>conocimiento</t>
  </si>
  <si>
    <t>26.3%</t>
  </si>
  <si>
    <t>contactos</t>
  </si>
  <si>
    <t>86.2%</t>
  </si>
  <si>
    <t>ayuda</t>
  </si>
  <si>
    <t>how to</t>
  </si>
  <si>
    <t>- Mar 2015</t>
  </si>
  <si>
    <t>- Mar 2014</t>
  </si>
  <si>
    <t>Percent change</t>
  </si>
  <si>
    <t>Total change</t>
  </si>
  <si>
    <t>Apr 2014</t>
  </si>
  <si>
    <t>Apr 2013</t>
  </si>
  <si>
    <t>Avg. monthly searches</t>
  </si>
  <si>
    <t>keyword (by relevance)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</si>
</sst>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 &quot;$&quot;\ * #,##0_ ;_ &quot;$&quot;\ * \-#,##0_ ;_ &quot;$&quot;\ * &quot;-&quot;_ ;_ @_ "/>
    <numFmt numFmtId="44" formatCode="_ &quot;$&quot;\ * #,##0.00_ ;_ &quot;$&quot;\ * \-#,##0.00_ ;_ &quot;$&quot;\ * &quot;-&quot;??_ ;_ @_ "/>
    <numFmt numFmtId="43" formatCode="_ * #,##0.00_ ;_ * \-#,##0.00_ ;_ * &quot;-&quot;??_ ;_ @_ "/>
    <numFmt numFmtId="164" formatCode="0.000%"/>
    <numFmt numFmtId="165" formatCode="_(* #,##0_);_(* \(#,##0\);_(* &quot;-&quot;??_);_(@_)"/>
    <numFmt numFmtId="166" formatCode="&quot;$&quot;#,##0"/>
    <numFmt numFmtId="167" formatCode="0.0"/>
    <numFmt numFmtId="168" formatCode="_ &quot;$&quot;\ * #,##0_ ;_ &quot;$&quot;\ * \-#,##0_ ;_ &quot;$&quot;\ * &quot;-&quot;??_ ;_ @_ "/>
    <numFmt numFmtId="169" formatCode="&quot;$&quot;#,##0.00"/>
    <numFmt numFmtId="170" formatCode="&quot;$&quot;#,##0.0"/>
    <numFmt numFmtId="171" formatCode="0.000"/>
    <numFmt numFmtId="172" formatCode="_ * #,##0_ ;_ * \-#,##0_ ;_ * &quot;-&quot;??_ ;_ @_ "/>
  </numFmts>
  <fonts count="35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28"/>
      <color rgb="FF1F497D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8"/>
      <color rgb="FF44546A"/>
      <name val="Calibri light"/>
    </font>
    <font>
      <sz val="10"/>
      <name val="Arial"/>
      <family val="2"/>
    </font>
    <font>
      <sz val="12"/>
      <color rgb="FF000000"/>
      <name val="Calibri"/>
      <family val="2"/>
    </font>
    <font>
      <b/>
      <sz val="10"/>
      <name val="Arial"/>
      <family val="2"/>
    </font>
    <font>
      <sz val="10"/>
      <name val="Calibri"/>
      <family val="2"/>
    </font>
    <font>
      <b/>
      <sz val="10"/>
      <name val="Arial"/>
      <family val="2"/>
    </font>
    <font>
      <b/>
      <sz val="10"/>
      <name val="Arial"/>
      <family val="2"/>
    </font>
    <font>
      <u/>
      <sz val="10"/>
      <color rgb="FF0000FF"/>
      <name val="Calibri"/>
      <family val="2"/>
    </font>
    <font>
      <i/>
      <sz val="10"/>
      <name val="Arial"/>
      <family val="2"/>
    </font>
    <font>
      <u/>
      <sz val="10"/>
      <color rgb="FF0000FF"/>
      <name val="Arial"/>
      <family val="2"/>
    </font>
    <font>
      <sz val="10"/>
      <name val="Arial"/>
      <family val="2"/>
    </font>
    <font>
      <b/>
      <sz val="15"/>
      <color rgb="FF44546A"/>
      <name val="Calibri"/>
      <family val="2"/>
    </font>
    <font>
      <sz val="12"/>
      <color rgb="FF3F3F76"/>
      <name val="Calibri"/>
      <family val="2"/>
    </font>
    <font>
      <b/>
      <sz val="12"/>
      <color rgb="FF3F3F3F"/>
      <name val="Calibri"/>
      <family val="2"/>
    </font>
    <font>
      <b/>
      <sz val="14"/>
      <name val="Arial"/>
      <family val="2"/>
    </font>
    <font>
      <b/>
      <sz val="12"/>
      <color rgb="FF7F7F7F"/>
      <name val="Calibri"/>
      <family val="2"/>
    </font>
    <font>
      <b/>
      <sz val="13"/>
      <color rgb="FF44546A"/>
      <name val="Calibri"/>
      <family val="2"/>
    </font>
    <font>
      <sz val="9"/>
      <color rgb="FF666666"/>
      <name val="Arial"/>
      <family val="2"/>
    </font>
    <font>
      <i/>
      <sz val="9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color rgb="FF000000"/>
      <name val="Arial"/>
      <family val="2"/>
    </font>
    <font>
      <i/>
      <sz val="8"/>
      <name val="Arial"/>
      <family val="2"/>
    </font>
    <font>
      <i/>
      <sz val="9"/>
      <color rgb="FF000000"/>
      <name val="Arial"/>
      <family val="2"/>
    </font>
    <font>
      <sz val="12"/>
      <name val="Arial"/>
      <family val="2"/>
    </font>
    <font>
      <sz val="14"/>
      <color rgb="FFFFFFFF"/>
      <name val="Arial"/>
      <family val="2"/>
    </font>
    <font>
      <sz val="10"/>
      <color rgb="FF222222"/>
      <name val="Arial"/>
      <family val="2"/>
    </font>
    <font>
      <b/>
      <sz val="10"/>
      <color theme="4" tint="-0.249977111117893"/>
      <name val="Arial"/>
      <family val="2"/>
    </font>
    <font>
      <b/>
      <sz val="8"/>
      <color rgb="FF33333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F6F6F6"/>
        <bgColor rgb="FFF6F6F6"/>
      </patternFill>
    </fill>
    <fill>
      <patternFill patternType="solid">
        <fgColor rgb="FFFFFF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E4E4E4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ck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ACCCE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3F3F3"/>
      </right>
      <top/>
      <bottom style="medium">
        <color rgb="FFE6E6E6"/>
      </bottom>
      <diagonal/>
    </border>
    <border>
      <left/>
      <right/>
      <top/>
      <bottom style="medium">
        <color rgb="FFDDDDDD"/>
      </bottom>
      <diagonal/>
    </border>
    <border>
      <left/>
      <right/>
      <top style="medium">
        <color rgb="FFDDDDDD"/>
      </top>
      <bottom/>
      <diagonal/>
    </border>
    <border>
      <left/>
      <right/>
      <top style="medium">
        <color rgb="FFE6E6E6"/>
      </top>
      <bottom/>
      <diagonal/>
    </border>
  </borders>
  <cellStyleXfs count="5">
    <xf numFmtId="0" fontId="0" fillId="0" borderId="0"/>
    <xf numFmtId="9" fontId="27" fillId="0" borderId="0" applyFont="0" applyFill="0" applyBorder="0" applyAlignment="0" applyProtection="0"/>
    <xf numFmtId="0" fontId="27" fillId="0" borderId="0"/>
    <xf numFmtId="0" fontId="1" fillId="0" borderId="0"/>
    <xf numFmtId="43" fontId="1" fillId="0" borderId="0" applyFont="0" applyFill="0" applyBorder="0" applyAlignment="0" applyProtection="0"/>
  </cellStyleXfs>
  <cellXfs count="206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1" xfId="0" applyFont="1" applyBorder="1"/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/>
    <xf numFmtId="0" fontId="8" fillId="0" borderId="0" xfId="0" applyFont="1"/>
    <xf numFmtId="164" fontId="7" fillId="0" borderId="0" xfId="0" applyNumberFormat="1" applyFont="1" applyAlignment="1"/>
    <xf numFmtId="10" fontId="9" fillId="0" borderId="1" xfId="0" applyNumberFormat="1" applyFont="1" applyBorder="1" applyAlignment="1"/>
    <xf numFmtId="0" fontId="4" fillId="0" borderId="0" xfId="0" applyFont="1"/>
    <xf numFmtId="0" fontId="9" fillId="0" borderId="1" xfId="0" applyFont="1" applyBorder="1" applyAlignment="1"/>
    <xf numFmtId="0" fontId="10" fillId="0" borderId="0" xfId="0" applyFont="1"/>
    <xf numFmtId="9" fontId="11" fillId="0" borderId="1" xfId="0" applyNumberFormat="1" applyFont="1" applyBorder="1" applyAlignment="1"/>
    <xf numFmtId="9" fontId="7" fillId="0" borderId="0" xfId="0" applyNumberFormat="1" applyFont="1" applyAlignment="1"/>
    <xf numFmtId="0" fontId="10" fillId="0" borderId="2" xfId="0" applyFont="1" applyBorder="1"/>
    <xf numFmtId="3" fontId="10" fillId="0" borderId="2" xfId="0" applyNumberFormat="1" applyFont="1" applyBorder="1"/>
    <xf numFmtId="0" fontId="13" fillId="0" borderId="0" xfId="0" applyFont="1"/>
    <xf numFmtId="0" fontId="14" fillId="0" borderId="0" xfId="0" applyFont="1" applyAlignment="1">
      <alignment horizontal="right"/>
    </xf>
    <xf numFmtId="0" fontId="10" fillId="0" borderId="3" xfId="0" applyFont="1" applyBorder="1"/>
    <xf numFmtId="10" fontId="14" fillId="0" borderId="0" xfId="0" applyNumberFormat="1" applyFont="1" applyAlignment="1">
      <alignment horizontal="center"/>
    </xf>
    <xf numFmtId="0" fontId="15" fillId="0" borderId="0" xfId="0" applyFont="1" applyAlignment="1"/>
    <xf numFmtId="0" fontId="16" fillId="2" borderId="0" xfId="0" applyFont="1" applyFill="1" applyAlignment="1"/>
    <xf numFmtId="0" fontId="17" fillId="0" borderId="4" xfId="0" applyFont="1" applyBorder="1"/>
    <xf numFmtId="10" fontId="7" fillId="0" borderId="0" xfId="0" applyNumberFormat="1" applyFont="1" applyAlignment="1"/>
    <xf numFmtId="165" fontId="18" fillId="3" borderId="5" xfId="0" applyNumberFormat="1" applyFont="1" applyFill="1" applyBorder="1"/>
    <xf numFmtId="9" fontId="18" fillId="3" borderId="5" xfId="0" applyNumberFormat="1" applyFont="1" applyFill="1" applyBorder="1"/>
    <xf numFmtId="165" fontId="19" fillId="4" borderId="6" xfId="0" applyNumberFormat="1" applyFont="1" applyFill="1" applyBorder="1"/>
    <xf numFmtId="0" fontId="20" fillId="0" borderId="0" xfId="0" applyFont="1" applyAlignment="1"/>
    <xf numFmtId="166" fontId="7" fillId="0" borderId="0" xfId="0" applyNumberFormat="1" applyFont="1"/>
    <xf numFmtId="0" fontId="4" fillId="0" borderId="1" xfId="0" applyFont="1" applyBorder="1" applyAlignment="1"/>
    <xf numFmtId="2" fontId="18" fillId="3" borderId="5" xfId="0" applyNumberFormat="1" applyFont="1" applyFill="1" applyBorder="1"/>
    <xf numFmtId="0" fontId="8" fillId="0" borderId="0" xfId="0" applyFont="1"/>
    <xf numFmtId="3" fontId="10" fillId="0" borderId="3" xfId="0" applyNumberFormat="1" applyFont="1" applyBorder="1"/>
    <xf numFmtId="2" fontId="19" fillId="4" borderId="6" xfId="0" applyNumberFormat="1" applyFont="1" applyFill="1" applyBorder="1"/>
    <xf numFmtId="9" fontId="10" fillId="0" borderId="0" xfId="0" applyNumberFormat="1" applyFont="1"/>
    <xf numFmtId="2" fontId="21" fillId="0" borderId="0" xfId="0" applyNumberFormat="1" applyFont="1"/>
    <xf numFmtId="42" fontId="4" fillId="0" borderId="0" xfId="0" applyNumberFormat="1" applyFont="1"/>
    <xf numFmtId="3" fontId="7" fillId="0" borderId="0" xfId="0" applyNumberFormat="1" applyFont="1" applyAlignment="1"/>
    <xf numFmtId="0" fontId="7" fillId="0" borderId="1" xfId="0" applyFont="1" applyBorder="1" applyAlignment="1"/>
    <xf numFmtId="3" fontId="7" fillId="0" borderId="0" xfId="0" applyNumberFormat="1" applyFont="1"/>
    <xf numFmtId="2" fontId="8" fillId="0" borderId="0" xfId="0" applyNumberFormat="1" applyFont="1"/>
    <xf numFmtId="166" fontId="7" fillId="0" borderId="0" xfId="0" applyNumberFormat="1" applyFont="1" applyAlignment="1"/>
    <xf numFmtId="3" fontId="4" fillId="0" borderId="1" xfId="0" applyNumberFormat="1" applyFont="1" applyBorder="1"/>
    <xf numFmtId="164" fontId="20" fillId="0" borderId="0" xfId="0" applyNumberFormat="1" applyFont="1"/>
    <xf numFmtId="168" fontId="9" fillId="0" borderId="1" xfId="0" applyNumberFormat="1" applyFont="1" applyBorder="1"/>
    <xf numFmtId="9" fontId="19" fillId="4" borderId="6" xfId="0" applyNumberFormat="1" applyFont="1" applyFill="1" applyBorder="1"/>
    <xf numFmtId="169" fontId="7" fillId="0" borderId="1" xfId="0" applyNumberFormat="1" applyFont="1" applyBorder="1" applyAlignment="1"/>
    <xf numFmtId="0" fontId="10" fillId="0" borderId="0" xfId="0" applyFont="1"/>
    <xf numFmtId="0" fontId="22" fillId="0" borderId="7" xfId="0" applyFont="1" applyBorder="1" applyAlignment="1">
      <alignment horizontal="center"/>
    </xf>
    <xf numFmtId="0" fontId="22" fillId="0" borderId="7" xfId="0" applyFont="1" applyBorder="1"/>
    <xf numFmtId="0" fontId="8" fillId="0" borderId="0" xfId="0" applyFont="1" applyAlignment="1">
      <alignment horizontal="center"/>
    </xf>
    <xf numFmtId="165" fontId="8" fillId="0" borderId="0" xfId="0" applyNumberFormat="1" applyFont="1"/>
    <xf numFmtId="0" fontId="8" fillId="0" borderId="0" xfId="0" applyFont="1" applyAlignment="1"/>
    <xf numFmtId="0" fontId="12" fillId="0" borderId="1" xfId="0" applyFont="1" applyBorder="1" applyAlignment="1"/>
    <xf numFmtId="10" fontId="9" fillId="0" borderId="1" xfId="0" applyNumberFormat="1" applyFont="1" applyBorder="1"/>
    <xf numFmtId="0" fontId="4" fillId="0" borderId="0" xfId="0" applyFont="1" applyAlignment="1"/>
    <xf numFmtId="0" fontId="9" fillId="5" borderId="1" xfId="0" applyFont="1" applyFill="1" applyBorder="1" applyAlignment="1">
      <alignment horizontal="right" wrapText="1"/>
    </xf>
    <xf numFmtId="0" fontId="9" fillId="5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right"/>
    </xf>
    <xf numFmtId="3" fontId="7" fillId="0" borderId="1" xfId="0" applyNumberFormat="1" applyFont="1" applyBorder="1" applyAlignment="1"/>
    <xf numFmtId="3" fontId="10" fillId="0" borderId="0" xfId="0" applyNumberFormat="1" applyFont="1"/>
    <xf numFmtId="14" fontId="8" fillId="0" borderId="0" xfId="0" applyNumberFormat="1" applyFont="1" applyAlignment="1">
      <alignment horizontal="center"/>
    </xf>
    <xf numFmtId="0" fontId="4" fillId="0" borderId="0" xfId="0" applyFont="1"/>
    <xf numFmtId="170" fontId="7" fillId="0" borderId="0" xfId="0" applyNumberFormat="1" applyFont="1"/>
    <xf numFmtId="0" fontId="4" fillId="2" borderId="0" xfId="0" applyFont="1" applyFill="1"/>
    <xf numFmtId="10" fontId="10" fillId="0" borderId="0" xfId="0" applyNumberFormat="1" applyFont="1"/>
    <xf numFmtId="0" fontId="9" fillId="0" borderId="1" xfId="0" applyFont="1" applyBorder="1" applyAlignment="1">
      <alignment horizontal="center"/>
    </xf>
    <xf numFmtId="44" fontId="4" fillId="0" borderId="0" xfId="0" applyNumberFormat="1" applyFont="1" applyAlignme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2" fontId="7" fillId="0" borderId="0" xfId="0" applyNumberFormat="1" applyFont="1" applyAlignment="1"/>
    <xf numFmtId="2" fontId="7" fillId="0" borderId="0" xfId="0" applyNumberFormat="1" applyFont="1"/>
    <xf numFmtId="3" fontId="4" fillId="0" borderId="0" xfId="0" applyNumberFormat="1" applyFont="1"/>
    <xf numFmtId="0" fontId="10" fillId="0" borderId="11" xfId="0" applyFont="1" applyBorder="1"/>
    <xf numFmtId="0" fontId="4" fillId="0" borderId="1" xfId="0" applyFont="1" applyBorder="1" applyAlignment="1"/>
    <xf numFmtId="10" fontId="4" fillId="0" borderId="1" xfId="0" applyNumberFormat="1" applyFont="1" applyBorder="1" applyAlignment="1"/>
    <xf numFmtId="10" fontId="4" fillId="6" borderId="1" xfId="0" applyNumberFormat="1" applyFont="1" applyFill="1" applyBorder="1" applyAlignment="1"/>
    <xf numFmtId="0" fontId="10" fillId="0" borderId="12" xfId="0" applyFont="1" applyBorder="1"/>
    <xf numFmtId="0" fontId="10" fillId="0" borderId="13" xfId="0" applyFont="1" applyBorder="1"/>
    <xf numFmtId="3" fontId="4" fillId="0" borderId="0" xfId="0" applyNumberFormat="1" applyFont="1" applyAlignment="1"/>
    <xf numFmtId="0" fontId="10" fillId="0" borderId="14" xfId="0" applyFont="1" applyBorder="1"/>
    <xf numFmtId="0" fontId="7" fillId="0" borderId="1" xfId="0" applyFont="1" applyBorder="1"/>
    <xf numFmtId="0" fontId="10" fillId="0" borderId="15" xfId="0" applyFont="1" applyBorder="1" applyAlignment="1">
      <alignment wrapText="1"/>
    </xf>
    <xf numFmtId="10" fontId="10" fillId="0" borderId="3" xfId="0" applyNumberFormat="1" applyFont="1" applyBorder="1"/>
    <xf numFmtId="3" fontId="4" fillId="0" borderId="0" xfId="0" applyNumberFormat="1" applyFont="1"/>
    <xf numFmtId="9" fontId="4" fillId="0" borderId="1" xfId="0" applyNumberFormat="1" applyFont="1" applyBorder="1" applyAlignment="1"/>
    <xf numFmtId="10" fontId="10" fillId="0" borderId="16" xfId="0" applyNumberFormat="1" applyFont="1" applyBorder="1"/>
    <xf numFmtId="9" fontId="4" fillId="0" borderId="1" xfId="0" applyNumberFormat="1" applyFont="1" applyBorder="1" applyAlignment="1"/>
    <xf numFmtId="3" fontId="4" fillId="0" borderId="0" xfId="0" applyNumberFormat="1" applyFont="1" applyAlignment="1"/>
    <xf numFmtId="0" fontId="4" fillId="0" borderId="0" xfId="0" applyFont="1" applyAlignment="1"/>
    <xf numFmtId="0" fontId="10" fillId="0" borderId="9" xfId="0" applyFont="1" applyBorder="1"/>
    <xf numFmtId="0" fontId="10" fillId="0" borderId="9" xfId="0" applyFont="1" applyBorder="1"/>
    <xf numFmtId="0" fontId="10" fillId="0" borderId="0" xfId="0" applyFont="1" applyAlignment="1">
      <alignment horizontal="right"/>
    </xf>
    <xf numFmtId="171" fontId="10" fillId="0" borderId="0" xfId="0" applyNumberFormat="1" applyFont="1"/>
    <xf numFmtId="10" fontId="4" fillId="0" borderId="0" xfId="0" applyNumberFormat="1" applyFont="1"/>
    <xf numFmtId="1" fontId="9" fillId="5" borderId="0" xfId="0" applyNumberFormat="1" applyFont="1" applyFill="1" applyBorder="1" applyAlignment="1">
      <alignment horizontal="center"/>
    </xf>
    <xf numFmtId="0" fontId="7" fillId="0" borderId="1" xfId="0" applyFont="1" applyBorder="1"/>
    <xf numFmtId="0" fontId="23" fillId="6" borderId="0" xfId="0" applyFont="1" applyFill="1" applyBorder="1" applyAlignment="1">
      <alignment horizontal="right"/>
    </xf>
    <xf numFmtId="166" fontId="4" fillId="0" borderId="0" xfId="0" applyNumberFormat="1" applyFont="1"/>
    <xf numFmtId="168" fontId="4" fillId="0" borderId="0" xfId="0" applyNumberFormat="1" applyFont="1"/>
    <xf numFmtId="0" fontId="10" fillId="0" borderId="2" xfId="0" applyFont="1" applyBorder="1"/>
    <xf numFmtId="168" fontId="4" fillId="0" borderId="0" xfId="0" applyNumberFormat="1" applyFont="1" applyAlignment="1"/>
    <xf numFmtId="0" fontId="4" fillId="0" borderId="0" xfId="0" applyFont="1" applyAlignment="1">
      <alignment horizontal="left"/>
    </xf>
    <xf numFmtId="0" fontId="9" fillId="0" borderId="2" xfId="0" applyFont="1" applyBorder="1" applyAlignment="1">
      <alignment horizontal="left"/>
    </xf>
    <xf numFmtId="168" fontId="9" fillId="0" borderId="2" xfId="0" applyNumberFormat="1" applyFont="1" applyBorder="1"/>
    <xf numFmtId="4" fontId="10" fillId="0" borderId="0" xfId="0" applyNumberFormat="1" applyFont="1"/>
    <xf numFmtId="169" fontId="4" fillId="0" borderId="1" xfId="0" applyNumberFormat="1" applyFont="1" applyBorder="1" applyAlignment="1"/>
    <xf numFmtId="9" fontId="24" fillId="0" borderId="0" xfId="0" applyNumberFormat="1" applyFont="1"/>
    <xf numFmtId="0" fontId="4" fillId="0" borderId="8" xfId="0" applyFont="1" applyBorder="1"/>
    <xf numFmtId="9" fontId="4" fillId="0" borderId="1" xfId="0" applyNumberFormat="1" applyFont="1" applyBorder="1" applyAlignment="1"/>
    <xf numFmtId="166" fontId="7" fillId="0" borderId="1" xfId="0" applyNumberFormat="1" applyFont="1" applyBorder="1" applyAlignment="1"/>
    <xf numFmtId="1" fontId="4" fillId="0" borderId="0" xfId="0" applyNumberFormat="1" applyFont="1"/>
    <xf numFmtId="9" fontId="4" fillId="0" borderId="0" xfId="0" applyNumberFormat="1" applyFont="1"/>
    <xf numFmtId="0" fontId="4" fillId="5" borderId="1" xfId="0" applyFont="1" applyFill="1" applyBorder="1" applyAlignment="1">
      <alignment horizontal="right"/>
    </xf>
    <xf numFmtId="9" fontId="4" fillId="0" borderId="0" xfId="0" applyNumberFormat="1" applyFont="1" applyAlignment="1"/>
    <xf numFmtId="0" fontId="25" fillId="0" borderId="1" xfId="0" applyFont="1" applyBorder="1" applyAlignment="1"/>
    <xf numFmtId="0" fontId="26" fillId="0" borderId="1" xfId="0" applyFont="1" applyBorder="1" applyAlignment="1">
      <alignment horizontal="right"/>
    </xf>
    <xf numFmtId="166" fontId="4" fillId="0" borderId="17" xfId="0" applyNumberFormat="1" applyFont="1" applyBorder="1" applyAlignment="1"/>
    <xf numFmtId="166" fontId="4" fillId="0" borderId="17" xfId="0" applyNumberFormat="1" applyFont="1" applyBorder="1" applyAlignment="1"/>
    <xf numFmtId="166" fontId="4" fillId="0" borderId="14" xfId="0" applyNumberFormat="1" applyFont="1" applyBorder="1" applyAlignment="1"/>
    <xf numFmtId="166" fontId="4" fillId="0" borderId="18" xfId="0" applyNumberFormat="1" applyFont="1" applyBorder="1" applyAlignment="1"/>
    <xf numFmtId="166" fontId="4" fillId="0" borderId="18" xfId="0" applyNumberFormat="1" applyFont="1" applyBorder="1" applyAlignment="1"/>
    <xf numFmtId="166" fontId="7" fillId="0" borderId="18" xfId="0" applyNumberFormat="1" applyFont="1" applyBorder="1" applyAlignment="1"/>
    <xf numFmtId="0" fontId="9" fillId="0" borderId="0" xfId="0" applyFont="1" applyAlignment="1">
      <alignment horizontal="left"/>
    </xf>
    <xf numFmtId="168" fontId="9" fillId="0" borderId="0" xfId="0" applyNumberFormat="1" applyFont="1"/>
    <xf numFmtId="166" fontId="4" fillId="0" borderId="19" xfId="0" applyNumberFormat="1" applyFont="1" applyBorder="1" applyAlignment="1"/>
    <xf numFmtId="166" fontId="4" fillId="0" borderId="1" xfId="0" applyNumberFormat="1" applyFont="1" applyBorder="1"/>
    <xf numFmtId="0" fontId="28" fillId="5" borderId="0" xfId="0" applyFont="1" applyFill="1" applyBorder="1" applyAlignment="1">
      <alignment horizontal="left" indent="2"/>
    </xf>
    <xf numFmtId="0" fontId="24" fillId="0" borderId="0" xfId="0" applyFont="1" applyAlignment="1">
      <alignment horizontal="left" indent="1"/>
    </xf>
    <xf numFmtId="0" fontId="29" fillId="0" borderId="0" xfId="0" applyFont="1" applyAlignment="1"/>
    <xf numFmtId="9" fontId="29" fillId="0" borderId="0" xfId="1" applyFont="1" applyAlignment="1"/>
    <xf numFmtId="166" fontId="4" fillId="0" borderId="0" xfId="0" applyNumberFormat="1" applyFont="1" applyAlignment="1"/>
    <xf numFmtId="0" fontId="4" fillId="0" borderId="20" xfId="0" applyFont="1" applyBorder="1" applyAlignment="1">
      <alignment horizontal="left"/>
    </xf>
    <xf numFmtId="168" fontId="4" fillId="0" borderId="21" xfId="0" applyNumberFormat="1" applyFont="1" applyBorder="1"/>
    <xf numFmtId="168" fontId="4" fillId="0" borderId="22" xfId="0" applyNumberFormat="1" applyFont="1" applyBorder="1"/>
    <xf numFmtId="0" fontId="4" fillId="0" borderId="23" xfId="0" applyFont="1" applyBorder="1" applyAlignment="1">
      <alignment horizontal="left"/>
    </xf>
    <xf numFmtId="168" fontId="4" fillId="0" borderId="0" xfId="0" applyNumberFormat="1" applyFont="1" applyBorder="1"/>
    <xf numFmtId="168" fontId="4" fillId="0" borderId="24" xfId="0" applyNumberFormat="1" applyFont="1" applyBorder="1"/>
    <xf numFmtId="0" fontId="4" fillId="0" borderId="23" xfId="0" applyFont="1" applyBorder="1" applyAlignment="1"/>
    <xf numFmtId="0" fontId="4" fillId="0" borderId="25" xfId="0" applyFont="1" applyBorder="1" applyAlignment="1">
      <alignment horizontal="left"/>
    </xf>
    <xf numFmtId="168" fontId="4" fillId="0" borderId="26" xfId="0" applyNumberFormat="1" applyFont="1" applyBorder="1"/>
    <xf numFmtId="168" fontId="4" fillId="0" borderId="27" xfId="0" applyNumberFormat="1" applyFont="1" applyBorder="1"/>
    <xf numFmtId="9" fontId="4" fillId="0" borderId="22" xfId="0" applyNumberFormat="1" applyFont="1" applyBorder="1" applyAlignment="1"/>
    <xf numFmtId="9" fontId="4" fillId="0" borderId="27" xfId="0" applyNumberFormat="1" applyFont="1" applyBorder="1"/>
    <xf numFmtId="0" fontId="4" fillId="0" borderId="0" xfId="0" applyFont="1" applyBorder="1" applyAlignment="1">
      <alignment horizontal="left"/>
    </xf>
    <xf numFmtId="10" fontId="4" fillId="0" borderId="0" xfId="0" applyNumberFormat="1" applyFont="1" applyBorder="1"/>
    <xf numFmtId="10" fontId="4" fillId="0" borderId="22" xfId="0" applyNumberFormat="1" applyFont="1" applyBorder="1"/>
    <xf numFmtId="0" fontId="30" fillId="0" borderId="0" xfId="0" applyFont="1" applyAlignment="1"/>
    <xf numFmtId="0" fontId="9" fillId="0" borderId="28" xfId="0" applyFont="1" applyBorder="1" applyAlignment="1"/>
    <xf numFmtId="3" fontId="9" fillId="0" borderId="28" xfId="0" applyNumberFormat="1" applyFont="1" applyBorder="1"/>
    <xf numFmtId="167" fontId="4" fillId="0" borderId="0" xfId="0" applyNumberFormat="1" applyFont="1" applyAlignment="1"/>
    <xf numFmtId="9" fontId="4" fillId="0" borderId="0" xfId="1" applyFont="1" applyAlignment="1"/>
    <xf numFmtId="0" fontId="9" fillId="0" borderId="26" xfId="0" applyFont="1" applyBorder="1" applyAlignment="1"/>
    <xf numFmtId="168" fontId="9" fillId="0" borderId="26" xfId="0" applyNumberFormat="1" applyFont="1" applyBorder="1"/>
    <xf numFmtId="168" fontId="9" fillId="0" borderId="26" xfId="0" applyNumberFormat="1" applyFont="1" applyBorder="1" applyAlignment="1"/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30" fillId="0" borderId="0" xfId="2" applyFont="1" applyAlignment="1"/>
    <xf numFmtId="0" fontId="27" fillId="0" borderId="0" xfId="2" applyFont="1" applyAlignment="1"/>
    <xf numFmtId="0" fontId="4" fillId="0" borderId="0" xfId="2" applyFont="1" applyAlignment="1"/>
    <xf numFmtId="0" fontId="28" fillId="5" borderId="0" xfId="2" applyFont="1" applyFill="1" applyBorder="1" applyAlignment="1">
      <alignment horizontal="left" indent="2"/>
    </xf>
    <xf numFmtId="1" fontId="9" fillId="5" borderId="0" xfId="2" applyNumberFormat="1" applyFont="1" applyFill="1" applyBorder="1" applyAlignment="1">
      <alignment horizontal="center"/>
    </xf>
    <xf numFmtId="0" fontId="9" fillId="0" borderId="26" xfId="2" applyFont="1" applyBorder="1" applyAlignment="1"/>
    <xf numFmtId="168" fontId="9" fillId="0" borderId="26" xfId="2" applyNumberFormat="1" applyFont="1" applyBorder="1"/>
    <xf numFmtId="0" fontId="4" fillId="0" borderId="0" xfId="2" applyFont="1" applyAlignment="1">
      <alignment horizontal="left" indent="1"/>
    </xf>
    <xf numFmtId="168" fontId="4" fillId="0" borderId="0" xfId="2" applyNumberFormat="1" applyFont="1"/>
    <xf numFmtId="168" fontId="4" fillId="0" borderId="0" xfId="2" applyNumberFormat="1" applyFont="1" applyAlignment="1"/>
    <xf numFmtId="0" fontId="14" fillId="0" borderId="21" xfId="2" applyFont="1" applyBorder="1" applyAlignment="1">
      <alignment horizontal="left" indent="1"/>
    </xf>
    <xf numFmtId="9" fontId="14" fillId="0" borderId="21" xfId="1" applyFont="1" applyBorder="1"/>
    <xf numFmtId="0" fontId="14" fillId="0" borderId="26" xfId="2" applyFont="1" applyBorder="1" applyAlignment="1">
      <alignment horizontal="left" indent="1"/>
    </xf>
    <xf numFmtId="9" fontId="14" fillId="0" borderId="26" xfId="1" applyFont="1" applyBorder="1"/>
    <xf numFmtId="0" fontId="27" fillId="0" borderId="0" xfId="2" applyFont="1" applyAlignment="1">
      <alignment horizontal="left" indent="1"/>
    </xf>
    <xf numFmtId="166" fontId="4" fillId="0" borderId="0" xfId="2" applyNumberFormat="1" applyFont="1"/>
    <xf numFmtId="0" fontId="4" fillId="0" borderId="0" xfId="0" applyFont="1" applyBorder="1"/>
    <xf numFmtId="0" fontId="4" fillId="0" borderId="19" xfId="0" applyFont="1" applyBorder="1" applyAlignment="1"/>
    <xf numFmtId="0" fontId="7" fillId="0" borderId="29" xfId="0" applyFont="1" applyBorder="1" applyAlignment="1">
      <alignment horizontal="center"/>
    </xf>
    <xf numFmtId="3" fontId="9" fillId="0" borderId="1" xfId="0" applyNumberFormat="1" applyFont="1" applyBorder="1" applyAlignment="1"/>
    <xf numFmtId="0" fontId="25" fillId="0" borderId="1" xfId="0" applyFont="1" applyBorder="1" applyAlignment="1">
      <alignment horizontal="right"/>
    </xf>
    <xf numFmtId="166" fontId="9" fillId="0" borderId="1" xfId="0" applyNumberFormat="1" applyFont="1" applyBorder="1"/>
    <xf numFmtId="0" fontId="1" fillId="0" borderId="0" xfId="3"/>
    <xf numFmtId="2" fontId="1" fillId="0" borderId="0" xfId="3" applyNumberFormat="1"/>
    <xf numFmtId="172" fontId="0" fillId="0" borderId="0" xfId="4" applyNumberFormat="1" applyFont="1"/>
    <xf numFmtId="0" fontId="31" fillId="7" borderId="30" xfId="3" applyFont="1" applyFill="1" applyBorder="1" applyAlignment="1">
      <alignment horizontal="center" vertical="center" wrapText="1"/>
    </xf>
    <xf numFmtId="0" fontId="32" fillId="7" borderId="30" xfId="3" applyFont="1" applyFill="1" applyBorder="1" applyAlignment="1">
      <alignment horizontal="right" vertical="center" wrapText="1"/>
    </xf>
    <xf numFmtId="0" fontId="32" fillId="7" borderId="30" xfId="3" applyFont="1" applyFill="1" applyBorder="1" applyAlignment="1">
      <alignment horizontal="left" vertical="center"/>
    </xf>
    <xf numFmtId="0" fontId="32" fillId="8" borderId="30" xfId="3" applyFont="1" applyFill="1" applyBorder="1" applyAlignment="1">
      <alignment horizontal="right" vertical="center" wrapText="1"/>
    </xf>
    <xf numFmtId="0" fontId="32" fillId="8" borderId="30" xfId="3" applyFont="1" applyFill="1" applyBorder="1" applyAlignment="1">
      <alignment horizontal="left" vertical="center"/>
    </xf>
    <xf numFmtId="0" fontId="33" fillId="8" borderId="30" xfId="3" applyFont="1" applyFill="1" applyBorder="1" applyAlignment="1">
      <alignment horizontal="right" vertical="center" wrapText="1"/>
    </xf>
    <xf numFmtId="0" fontId="33" fillId="8" borderId="30" xfId="3" applyFont="1" applyFill="1" applyBorder="1" applyAlignment="1">
      <alignment horizontal="left" vertical="center"/>
    </xf>
    <xf numFmtId="0" fontId="34" fillId="9" borderId="31" xfId="3" applyFont="1" applyFill="1" applyBorder="1" applyAlignment="1">
      <alignment horizontal="right" vertical="center" wrapText="1"/>
    </xf>
    <xf numFmtId="0" fontId="34" fillId="9" borderId="0" xfId="3" applyFont="1" applyFill="1" applyAlignment="1">
      <alignment horizontal="right" vertical="center" wrapText="1"/>
    </xf>
    <xf numFmtId="0" fontId="1" fillId="8" borderId="0" xfId="3" applyFill="1"/>
    <xf numFmtId="0" fontId="32" fillId="7" borderId="30" xfId="3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wrapText="1"/>
    </xf>
    <xf numFmtId="0" fontId="7" fillId="0" borderId="9" xfId="0" applyFont="1" applyBorder="1"/>
    <xf numFmtId="0" fontId="7" fillId="0" borderId="10" xfId="0" applyFont="1" applyBorder="1"/>
    <xf numFmtId="0" fontId="34" fillId="9" borderId="33" xfId="3" applyFont="1" applyFill="1" applyBorder="1" applyAlignment="1">
      <alignment horizontal="left" vertical="center"/>
    </xf>
    <xf numFmtId="0" fontId="34" fillId="9" borderId="0" xfId="3" applyFont="1" applyFill="1" applyAlignment="1">
      <alignment horizontal="left" vertical="center"/>
    </xf>
    <xf numFmtId="0" fontId="34" fillId="9" borderId="31" xfId="3" applyFont="1" applyFill="1" applyBorder="1" applyAlignment="1">
      <alignment horizontal="left" vertical="center"/>
    </xf>
    <xf numFmtId="0" fontId="34" fillId="10" borderId="0" xfId="3" applyFont="1" applyFill="1" applyAlignment="1">
      <alignment horizontal="center" vertical="center" wrapText="1"/>
    </xf>
    <xf numFmtId="0" fontId="34" fillId="10" borderId="31" xfId="3" applyFont="1" applyFill="1" applyBorder="1" applyAlignment="1">
      <alignment horizontal="center" vertical="center"/>
    </xf>
    <xf numFmtId="0" fontId="34" fillId="9" borderId="32" xfId="3" applyFont="1" applyFill="1" applyBorder="1" applyAlignment="1">
      <alignment horizontal="right" vertical="center"/>
    </xf>
    <xf numFmtId="0" fontId="34" fillId="9" borderId="31" xfId="3" applyFont="1" applyFill="1" applyBorder="1" applyAlignment="1">
      <alignment horizontal="right" vertical="center"/>
    </xf>
    <xf numFmtId="9" fontId="4" fillId="0" borderId="0" xfId="1" applyFont="1" applyBorder="1"/>
  </cellXfs>
  <cellStyles count="5">
    <cellStyle name="Comma 2" xfId="4"/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Viralization!$B$38</c:f>
              <c:strCache>
                <c:ptCount val="1"/>
                <c:pt idx="0">
                  <c:v>Users (month start)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xVal>
            <c:numRef>
              <c:f>Viralization!$A$39:$A$91</c:f>
              <c:numCache>
                <c:formatCode>General</c:formatCode>
                <c:ptCount val="53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36</c:v>
                </c:pt>
                <c:pt idx="41">
                  <c:v>37</c:v>
                </c:pt>
                <c:pt idx="42">
                  <c:v>38</c:v>
                </c:pt>
                <c:pt idx="43">
                  <c:v>39</c:v>
                </c:pt>
                <c:pt idx="44">
                  <c:v>40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46</c:v>
                </c:pt>
                <c:pt idx="51">
                  <c:v>47</c:v>
                </c:pt>
                <c:pt idx="52">
                  <c:v>48</c:v>
                </c:pt>
              </c:numCache>
            </c:numRef>
          </c:xVal>
          <c:yVal>
            <c:numRef>
              <c:f>Viralization!$B$39:$B$91</c:f>
              <c:numCache>
                <c:formatCode>_(* #,##0_);_(* \(#,##0\);_(* "-"??_);_(@_)</c:formatCode>
                <c:ptCount val="53"/>
                <c:pt idx="5">
                  <c:v>0</c:v>
                </c:pt>
                <c:pt idx="6">
                  <c:v>116000</c:v>
                </c:pt>
                <c:pt idx="7">
                  <c:v>130139.99999999999</c:v>
                </c:pt>
                <c:pt idx="8">
                  <c:v>142788.59999999998</c:v>
                </c:pt>
                <c:pt idx="9">
                  <c:v>150231.46399999998</c:v>
                </c:pt>
                <c:pt idx="10">
                  <c:v>153914.19185999999</c:v>
                </c:pt>
                <c:pt idx="11">
                  <c:v>154923.92014139998</c:v>
                </c:pt>
                <c:pt idx="12">
                  <c:v>157656.24909423597</c:v>
                </c:pt>
                <c:pt idx="13">
                  <c:v>159613.65070162612</c:v>
                </c:pt>
                <c:pt idx="14">
                  <c:v>161269.5750507809</c:v>
                </c:pt>
                <c:pt idx="15">
                  <c:v>162720.48342055985</c:v>
                </c:pt>
                <c:pt idx="16">
                  <c:v>164040.81555807771</c:v>
                </c:pt>
                <c:pt idx="17">
                  <c:v>165279.28268576381</c:v>
                </c:pt>
                <c:pt idx="18">
                  <c:v>222467.27271352487</c:v>
                </c:pt>
                <c:pt idx="19">
                  <c:v>230055.052822078</c:v>
                </c:pt>
                <c:pt idx="20">
                  <c:v>236852.05690215909</c:v>
                </c:pt>
                <c:pt idx="21">
                  <c:v>241079.01842598594</c:v>
                </c:pt>
                <c:pt idx="22">
                  <c:v>243457.20339996117</c:v>
                </c:pt>
                <c:pt idx="23">
                  <c:v>244527.9873611482</c:v>
                </c:pt>
                <c:pt idx="24">
                  <c:v>246424.95357774946</c:v>
                </c:pt>
                <c:pt idx="25">
                  <c:v>247938.41924178324</c:v>
                </c:pt>
                <c:pt idx="26">
                  <c:v>249300.77700397803</c:v>
                </c:pt>
                <c:pt idx="27">
                  <c:v>250560.437049133</c:v>
                </c:pt>
                <c:pt idx="28">
                  <c:v>251754.58631579578</c:v>
                </c:pt>
                <c:pt idx="29">
                  <c:v>252907.55976444052</c:v>
                </c:pt>
                <c:pt idx="30">
                  <c:v>318035.04318607308</c:v>
                </c:pt>
                <c:pt idx="31">
                  <c:v>326502.33781398396</c:v>
                </c:pt>
                <c:pt idx="32">
                  <c:v>334082.77585673303</c:v>
                </c:pt>
                <c:pt idx="33">
                  <c:v>338737.409023427</c:v>
                </c:pt>
                <c:pt idx="34">
                  <c:v>341286.83467408875</c:v>
                </c:pt>
                <c:pt idx="35">
                  <c:v>342347.28146721586</c:v>
                </c:pt>
                <c:pt idx="36">
                  <c:v>344355.46057540923</c:v>
                </c:pt>
                <c:pt idx="37">
                  <c:v>345927.75362225238</c:v>
                </c:pt>
                <c:pt idx="38">
                  <c:v>347328.97657540464</c:v>
                </c:pt>
                <c:pt idx="39">
                  <c:v>348613.93170542084</c:v>
                </c:pt>
                <c:pt idx="40">
                  <c:v>349824.7636781063</c:v>
                </c:pt>
                <c:pt idx="41">
                  <c:v>350989.04355735815</c:v>
                </c:pt>
                <c:pt idx="42">
                  <c:v>424124.53506507701</c:v>
                </c:pt>
                <c:pt idx="43">
                  <c:v>433517.18629403308</c:v>
                </c:pt>
                <c:pt idx="44">
                  <c:v>441912.04484255571</c:v>
                </c:pt>
                <c:pt idx="45">
                  <c:v>447015.32016266277</c:v>
                </c:pt>
                <c:pt idx="46">
                  <c:v>449750.20179573126</c:v>
                </c:pt>
                <c:pt idx="47">
                  <c:v>450809.95849943056</c:v>
                </c:pt>
                <c:pt idx="48">
                  <c:v>452935.89794131147</c:v>
                </c:pt>
                <c:pt idx="49">
                  <c:v>454571.45449163142</c:v>
                </c:pt>
                <c:pt idx="50">
                  <c:v>456014.54971502948</c:v>
                </c:pt>
                <c:pt idx="51">
                  <c:v>457326.83857813961</c:v>
                </c:pt>
                <c:pt idx="52">
                  <c:v>458555.73546105612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317424"/>
        <c:axId val="180317808"/>
      </c:scatterChart>
      <c:valAx>
        <c:axId val="180317424"/>
        <c:scaling>
          <c:orientation val="minMax"/>
        </c:scaling>
        <c:delete val="0"/>
        <c:axPos val="b"/>
        <c:majorGridlines>
          <c:spPr>
            <a:ln>
              <a:solidFill>
                <a:srgbClr val="FFFFF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1" i="0"/>
                </a:pPr>
                <a:r>
                  <a:rPr lang="es-AR"/>
                  <a:t>Month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180317808"/>
        <c:crosses val="autoZero"/>
        <c:crossBetween val="midCat"/>
      </c:valAx>
      <c:valAx>
        <c:axId val="1803178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_(* #,##0_);_(* \(#,##0\);_(* &quot;-&quot;??_);_(@_)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180317424"/>
        <c:crosses val="autoZero"/>
        <c:crossBetween val="midCat"/>
      </c:valAx>
      <c:spPr>
        <a:solidFill>
          <a:srgbClr val="FFFFFF"/>
        </a:solidFill>
      </c:spPr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b="1" i="0"/>
            </a:pPr>
            <a:r>
              <a:rPr lang="es-AR"/>
              <a:t>Growth Channels and User Loss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1"/>
        <c:ser>
          <c:idx val="0"/>
          <c:order val="0"/>
          <c:tx>
            <c:strRef>
              <c:f>Viralization!$C$38</c:f>
              <c:strCache>
                <c:ptCount val="1"/>
                <c:pt idx="0">
                  <c:v>Launch press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xVal>
            <c:numRef>
              <c:f>Viralization!$A$39:$A$91</c:f>
              <c:numCache>
                <c:formatCode>General</c:formatCode>
                <c:ptCount val="53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36</c:v>
                </c:pt>
                <c:pt idx="41">
                  <c:v>37</c:v>
                </c:pt>
                <c:pt idx="42">
                  <c:v>38</c:v>
                </c:pt>
                <c:pt idx="43">
                  <c:v>39</c:v>
                </c:pt>
                <c:pt idx="44">
                  <c:v>40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46</c:v>
                </c:pt>
                <c:pt idx="51">
                  <c:v>47</c:v>
                </c:pt>
                <c:pt idx="52">
                  <c:v>48</c:v>
                </c:pt>
              </c:numCache>
            </c:numRef>
          </c:xVal>
          <c:yVal>
            <c:numRef>
              <c:f>Viralization!$C$39:$C$91</c:f>
              <c:numCache>
                <c:formatCode>_(* #,##0_);_(* \(#,##0\);_(* "-"??_);_(@_)</c:formatCode>
                <c:ptCount val="53"/>
                <c:pt idx="5">
                  <c:v>144000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70000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80000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90000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Viralization!$D$38</c:f>
              <c:strCache>
                <c:ptCount val="1"/>
                <c:pt idx="0">
                  <c:v>App store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ED7D31"/>
              </a:solidFill>
              <a:ln cmpd="sng">
                <a:solidFill>
                  <a:srgbClr val="ED7D31"/>
                </a:solidFill>
              </a:ln>
            </c:spPr>
          </c:marker>
          <c:xVal>
            <c:numRef>
              <c:f>Viralization!$A$39:$A$91</c:f>
              <c:numCache>
                <c:formatCode>General</c:formatCode>
                <c:ptCount val="53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36</c:v>
                </c:pt>
                <c:pt idx="41">
                  <c:v>37</c:v>
                </c:pt>
                <c:pt idx="42">
                  <c:v>38</c:v>
                </c:pt>
                <c:pt idx="43">
                  <c:v>39</c:v>
                </c:pt>
                <c:pt idx="44">
                  <c:v>40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46</c:v>
                </c:pt>
                <c:pt idx="51">
                  <c:v>47</c:v>
                </c:pt>
                <c:pt idx="52">
                  <c:v>48</c:v>
                </c:pt>
              </c:numCache>
            </c:numRef>
          </c:xVal>
          <c:yVal>
            <c:numRef>
              <c:f>Viralization!$D$39:$D$91</c:f>
              <c:numCache>
                <c:formatCode>_(* #,##0_);_(* \(#,##0\);_(* "-"??_);_(@_)</c:formatCode>
                <c:ptCount val="53"/>
                <c:pt idx="5">
                  <c:v>250</c:v>
                </c:pt>
                <c:pt idx="6">
                  <c:v>250</c:v>
                </c:pt>
                <c:pt idx="7">
                  <c:v>250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16">
                  <c:v>250</c:v>
                </c:pt>
                <c:pt idx="17">
                  <c:v>250</c:v>
                </c:pt>
                <c:pt idx="18">
                  <c:v>250</c:v>
                </c:pt>
                <c:pt idx="19">
                  <c:v>250</c:v>
                </c:pt>
                <c:pt idx="20">
                  <c:v>250</c:v>
                </c:pt>
                <c:pt idx="21">
                  <c:v>250</c:v>
                </c:pt>
                <c:pt idx="22">
                  <c:v>250</c:v>
                </c:pt>
                <c:pt idx="23">
                  <c:v>250</c:v>
                </c:pt>
                <c:pt idx="24">
                  <c:v>250</c:v>
                </c:pt>
                <c:pt idx="25">
                  <c:v>250</c:v>
                </c:pt>
                <c:pt idx="26">
                  <c:v>250</c:v>
                </c:pt>
                <c:pt idx="27">
                  <c:v>250</c:v>
                </c:pt>
                <c:pt idx="28">
                  <c:v>250</c:v>
                </c:pt>
                <c:pt idx="29">
                  <c:v>250</c:v>
                </c:pt>
                <c:pt idx="30">
                  <c:v>250</c:v>
                </c:pt>
                <c:pt idx="31">
                  <c:v>250</c:v>
                </c:pt>
                <c:pt idx="32">
                  <c:v>250</c:v>
                </c:pt>
                <c:pt idx="33">
                  <c:v>250</c:v>
                </c:pt>
                <c:pt idx="34">
                  <c:v>250</c:v>
                </c:pt>
                <c:pt idx="35">
                  <c:v>250</c:v>
                </c:pt>
                <c:pt idx="36">
                  <c:v>250</c:v>
                </c:pt>
                <c:pt idx="37">
                  <c:v>250</c:v>
                </c:pt>
                <c:pt idx="38">
                  <c:v>250</c:v>
                </c:pt>
                <c:pt idx="39">
                  <c:v>250</c:v>
                </c:pt>
                <c:pt idx="40">
                  <c:v>250</c:v>
                </c:pt>
                <c:pt idx="41">
                  <c:v>250</c:v>
                </c:pt>
                <c:pt idx="42">
                  <c:v>250</c:v>
                </c:pt>
                <c:pt idx="43">
                  <c:v>250</c:v>
                </c:pt>
                <c:pt idx="44">
                  <c:v>250</c:v>
                </c:pt>
                <c:pt idx="45">
                  <c:v>250</c:v>
                </c:pt>
                <c:pt idx="46">
                  <c:v>250</c:v>
                </c:pt>
                <c:pt idx="47">
                  <c:v>250</c:v>
                </c:pt>
                <c:pt idx="48">
                  <c:v>250</c:v>
                </c:pt>
                <c:pt idx="49">
                  <c:v>250</c:v>
                </c:pt>
                <c:pt idx="50">
                  <c:v>250</c:v>
                </c:pt>
                <c:pt idx="51">
                  <c:v>250</c:v>
                </c:pt>
                <c:pt idx="52">
                  <c:v>250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Viralization!$E$38</c:f>
              <c:strCache>
                <c:ptCount val="1"/>
                <c:pt idx="0">
                  <c:v>Direct traffic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A5A5A5"/>
              </a:solidFill>
              <a:ln cmpd="sng">
                <a:solidFill>
                  <a:srgbClr val="A5A5A5"/>
                </a:solidFill>
              </a:ln>
            </c:spPr>
          </c:marker>
          <c:xVal>
            <c:numRef>
              <c:f>Viralization!$A$39:$A$91</c:f>
              <c:numCache>
                <c:formatCode>General</c:formatCode>
                <c:ptCount val="53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36</c:v>
                </c:pt>
                <c:pt idx="41">
                  <c:v>37</c:v>
                </c:pt>
                <c:pt idx="42">
                  <c:v>38</c:v>
                </c:pt>
                <c:pt idx="43">
                  <c:v>39</c:v>
                </c:pt>
                <c:pt idx="44">
                  <c:v>40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46</c:v>
                </c:pt>
                <c:pt idx="51">
                  <c:v>47</c:v>
                </c:pt>
                <c:pt idx="52">
                  <c:v>48</c:v>
                </c:pt>
              </c:numCache>
            </c:numRef>
          </c:xVal>
          <c:yVal>
            <c:numRef>
              <c:f>Viralization!$E$39:$E$91</c:f>
              <c:numCache>
                <c:formatCode>_(* #,##0_);_(* \(#,##0\);_(* "-"??_);_(@_)</c:formatCode>
                <c:ptCount val="53"/>
                <c:pt idx="5">
                  <c:v>750</c:v>
                </c:pt>
                <c:pt idx="6">
                  <c:v>750</c:v>
                </c:pt>
                <c:pt idx="7">
                  <c:v>750</c:v>
                </c:pt>
                <c:pt idx="8">
                  <c:v>750</c:v>
                </c:pt>
                <c:pt idx="9">
                  <c:v>750</c:v>
                </c:pt>
                <c:pt idx="10">
                  <c:v>750</c:v>
                </c:pt>
                <c:pt idx="11">
                  <c:v>750</c:v>
                </c:pt>
                <c:pt idx="12">
                  <c:v>750</c:v>
                </c:pt>
                <c:pt idx="13">
                  <c:v>750</c:v>
                </c:pt>
                <c:pt idx="14">
                  <c:v>750</c:v>
                </c:pt>
                <c:pt idx="15">
                  <c:v>750</c:v>
                </c:pt>
                <c:pt idx="16">
                  <c:v>750</c:v>
                </c:pt>
                <c:pt idx="17">
                  <c:v>750</c:v>
                </c:pt>
                <c:pt idx="18">
                  <c:v>750</c:v>
                </c:pt>
                <c:pt idx="19">
                  <c:v>750</c:v>
                </c:pt>
                <c:pt idx="20">
                  <c:v>750</c:v>
                </c:pt>
                <c:pt idx="21">
                  <c:v>750</c:v>
                </c:pt>
                <c:pt idx="22">
                  <c:v>750</c:v>
                </c:pt>
                <c:pt idx="23">
                  <c:v>750</c:v>
                </c:pt>
                <c:pt idx="24">
                  <c:v>750</c:v>
                </c:pt>
                <c:pt idx="25">
                  <c:v>750</c:v>
                </c:pt>
                <c:pt idx="26">
                  <c:v>750</c:v>
                </c:pt>
                <c:pt idx="27">
                  <c:v>750</c:v>
                </c:pt>
                <c:pt idx="28">
                  <c:v>750</c:v>
                </c:pt>
                <c:pt idx="29">
                  <c:v>750</c:v>
                </c:pt>
                <c:pt idx="30">
                  <c:v>750</c:v>
                </c:pt>
                <c:pt idx="31">
                  <c:v>750</c:v>
                </c:pt>
                <c:pt idx="32">
                  <c:v>750</c:v>
                </c:pt>
                <c:pt idx="33">
                  <c:v>750</c:v>
                </c:pt>
                <c:pt idx="34">
                  <c:v>750</c:v>
                </c:pt>
                <c:pt idx="35">
                  <c:v>750</c:v>
                </c:pt>
                <c:pt idx="36">
                  <c:v>750</c:v>
                </c:pt>
                <c:pt idx="37">
                  <c:v>750</c:v>
                </c:pt>
                <c:pt idx="38">
                  <c:v>750</c:v>
                </c:pt>
                <c:pt idx="39">
                  <c:v>750</c:v>
                </c:pt>
                <c:pt idx="40">
                  <c:v>750</c:v>
                </c:pt>
                <c:pt idx="41">
                  <c:v>750</c:v>
                </c:pt>
                <c:pt idx="42">
                  <c:v>750</c:v>
                </c:pt>
                <c:pt idx="43">
                  <c:v>750</c:v>
                </c:pt>
                <c:pt idx="44">
                  <c:v>750</c:v>
                </c:pt>
                <c:pt idx="45">
                  <c:v>750</c:v>
                </c:pt>
                <c:pt idx="46">
                  <c:v>750</c:v>
                </c:pt>
                <c:pt idx="47">
                  <c:v>750</c:v>
                </c:pt>
                <c:pt idx="48">
                  <c:v>750</c:v>
                </c:pt>
                <c:pt idx="49">
                  <c:v>750</c:v>
                </c:pt>
                <c:pt idx="50">
                  <c:v>750</c:v>
                </c:pt>
                <c:pt idx="51">
                  <c:v>750</c:v>
                </c:pt>
                <c:pt idx="52">
                  <c:v>750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Viralization!$F$38</c:f>
              <c:strCache>
                <c:ptCount val="1"/>
                <c:pt idx="0">
                  <c:v>Viral growth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FFC000"/>
              </a:solidFill>
              <a:ln cmpd="sng">
                <a:solidFill>
                  <a:srgbClr val="FFC000"/>
                </a:solidFill>
              </a:ln>
            </c:spPr>
          </c:marker>
          <c:xVal>
            <c:numRef>
              <c:f>Viralization!$A$39:$A$91</c:f>
              <c:numCache>
                <c:formatCode>General</c:formatCode>
                <c:ptCount val="53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36</c:v>
                </c:pt>
                <c:pt idx="41">
                  <c:v>37</c:v>
                </c:pt>
                <c:pt idx="42">
                  <c:v>38</c:v>
                </c:pt>
                <c:pt idx="43">
                  <c:v>39</c:v>
                </c:pt>
                <c:pt idx="44">
                  <c:v>40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46</c:v>
                </c:pt>
                <c:pt idx="51">
                  <c:v>47</c:v>
                </c:pt>
                <c:pt idx="52">
                  <c:v>48</c:v>
                </c:pt>
              </c:numCache>
            </c:numRef>
          </c:xVal>
          <c:yVal>
            <c:numRef>
              <c:f>Viralization!$F$39:$F$91</c:f>
              <c:numCache>
                <c:formatCode>_(* #,##0_);_(* \(#,##0\);_(* "-"??_);_(@_)</c:formatCode>
                <c:ptCount val="53"/>
                <c:pt idx="6">
                  <c:v>34800</c:v>
                </c:pt>
                <c:pt idx="7">
                  <c:v>23817</c:v>
                </c:pt>
                <c:pt idx="8">
                  <c:v>17055.705000000002</c:v>
                </c:pt>
                <c:pt idx="9">
                  <c:v>12285.904199999999</c:v>
                </c:pt>
                <c:pt idx="10">
                  <c:v>8912.670408</c:v>
                </c:pt>
                <c:pt idx="11">
                  <c:v>6528.2015295450001</c:v>
                </c:pt>
                <c:pt idx="12">
                  <c:v>4452.5046881808003</c:v>
                </c:pt>
                <c:pt idx="13">
                  <c:v>3275.9210580143667</c:v>
                </c:pt>
                <c:pt idx="14">
                  <c:v>2478.728120279397</c:v>
                </c:pt>
                <c:pt idx="15">
                  <c:v>1934.296739549126</c:v>
                </c:pt>
                <c:pt idx="16">
                  <c:v>1562.8508581768665</c:v>
                </c:pt>
                <c:pt idx="17">
                  <c:v>1309.7642234116602</c:v>
                </c:pt>
                <c:pt idx="18">
                  <c:v>17937.564312868479</c:v>
                </c:pt>
                <c:pt idx="19">
                  <c:v>12403.626887379229</c:v>
                </c:pt>
                <c:pt idx="20">
                  <c:v>8982.4201448936437</c:v>
                </c:pt>
                <c:pt idx="21">
                  <c:v>6570.965181888143</c:v>
                </c:pt>
                <c:pt idx="22">
                  <c:v>4867.1435857370798</c:v>
                </c:pt>
                <c:pt idx="23">
                  <c:v>3663.8062354383815</c:v>
                </c:pt>
                <c:pt idx="24">
                  <c:v>2625.5627282188352</c:v>
                </c:pt>
                <c:pt idx="25">
                  <c:v>2033.7780171444942</c:v>
                </c:pt>
                <c:pt idx="26">
                  <c:v>1632.7809876893439</c:v>
                </c:pt>
                <c:pt idx="27">
                  <c:v>1358.9807869939807</c:v>
                </c:pt>
                <c:pt idx="28">
                  <c:v>1172.212158195525</c:v>
                </c:pt>
                <c:pt idx="29">
                  <c:v>1044.9777505666193</c:v>
                </c:pt>
                <c:pt idx="30">
                  <c:v>20158.420252147658</c:v>
                </c:pt>
                <c:pt idx="31">
                  <c:v>13908.129825062479</c:v>
                </c:pt>
                <c:pt idx="32">
                  <c:v>10048.513653622287</c:v>
                </c:pt>
                <c:pt idx="33">
                  <c:v>7326.7131445916393</c:v>
                </c:pt>
                <c:pt idx="34">
                  <c:v>5402.6489307765232</c:v>
                </c:pt>
                <c:pt idx="35">
                  <c:v>4043.1105289458064</c:v>
                </c:pt>
                <c:pt idx="36">
                  <c:v>2867.192798236304</c:v>
                </c:pt>
                <c:pt idx="37">
                  <c:v>2198.0836117803678</c:v>
                </c:pt>
                <c:pt idx="38">
                  <c:v>1744.693907822468</c:v>
                </c:pt>
                <c:pt idx="39">
                  <c:v>1435.0965752639631</c:v>
                </c:pt>
                <c:pt idx="40">
                  <c:v>1223.8956974348027</c:v>
                </c:pt>
                <c:pt idx="41">
                  <c:v>1080.0096872373795</c:v>
                </c:pt>
                <c:pt idx="42">
                  <c:v>22582.120553109169</c:v>
                </c:pt>
                <c:pt idx="43">
                  <c:v>15550.203750659379</c:v>
                </c:pt>
                <c:pt idx="44">
                  <c:v>11207.904697498952</c:v>
                </c:pt>
                <c:pt idx="45">
                  <c:v>8145.7223062867197</c:v>
                </c:pt>
                <c:pt idx="46">
                  <c:v>5981.0436269257534</c:v>
                </c:pt>
                <c:pt idx="47">
                  <c:v>4451.4907340779519</c:v>
                </c:pt>
                <c:pt idx="48">
                  <c:v>3128.5343540774934</c:v>
                </c:pt>
                <c:pt idx="49">
                  <c:v>2375.7533661569132</c:v>
                </c:pt>
                <c:pt idx="50">
                  <c:v>1865.6674690750367</c:v>
                </c:pt>
                <c:pt idx="51">
                  <c:v>1517.355227318707</c:v>
                </c:pt>
                <c:pt idx="52">
                  <c:v>1279.7439052931345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Viralization!$H$38</c:f>
              <c:strCache>
                <c:ptCount val="1"/>
                <c:pt idx="0">
                  <c:v>Loss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7"/>
            <c:spPr>
              <a:solidFill>
                <a:srgbClr val="4472C4"/>
              </a:solidFill>
              <a:ln cmpd="sng">
                <a:solidFill>
                  <a:srgbClr val="4472C4"/>
                </a:solidFill>
              </a:ln>
            </c:spPr>
          </c:marker>
          <c:xVal>
            <c:numRef>
              <c:f>Viralization!$A$39:$A$91</c:f>
              <c:numCache>
                <c:formatCode>General</c:formatCode>
                <c:ptCount val="53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34</c:v>
                </c:pt>
                <c:pt idx="39">
                  <c:v>35</c:v>
                </c:pt>
                <c:pt idx="40">
                  <c:v>36</c:v>
                </c:pt>
                <c:pt idx="41">
                  <c:v>37</c:v>
                </c:pt>
                <c:pt idx="42">
                  <c:v>38</c:v>
                </c:pt>
                <c:pt idx="43">
                  <c:v>39</c:v>
                </c:pt>
                <c:pt idx="44">
                  <c:v>40</c:v>
                </c:pt>
                <c:pt idx="45">
                  <c:v>41</c:v>
                </c:pt>
                <c:pt idx="46">
                  <c:v>42</c:v>
                </c:pt>
                <c:pt idx="47">
                  <c:v>43</c:v>
                </c:pt>
                <c:pt idx="48">
                  <c:v>44</c:v>
                </c:pt>
                <c:pt idx="49">
                  <c:v>45</c:v>
                </c:pt>
                <c:pt idx="50">
                  <c:v>46</c:v>
                </c:pt>
                <c:pt idx="51">
                  <c:v>47</c:v>
                </c:pt>
                <c:pt idx="52">
                  <c:v>48</c:v>
                </c:pt>
              </c:numCache>
            </c:numRef>
          </c:xVal>
          <c:yVal>
            <c:numRef>
              <c:f>Viralization!$H$39:$H$91</c:f>
              <c:numCache>
                <c:formatCode>_(* #,##0_);_(* \(#,##0\);_(* "-"??_);_(@_)</c:formatCode>
                <c:ptCount val="53"/>
                <c:pt idx="5">
                  <c:v>-28999.999999999993</c:v>
                </c:pt>
                <c:pt idx="6">
                  <c:v>-21660.000000000011</c:v>
                </c:pt>
                <c:pt idx="7">
                  <c:v>-12168.400000000005</c:v>
                </c:pt>
                <c:pt idx="8">
                  <c:v>-10612.841000000006</c:v>
                </c:pt>
                <c:pt idx="9">
                  <c:v>-9603.1763399999891</c:v>
                </c:pt>
                <c:pt idx="10">
                  <c:v>-8902.9421266000027</c:v>
                </c:pt>
                <c:pt idx="11">
                  <c:v>-4795.872576709</c:v>
                </c:pt>
                <c:pt idx="12">
                  <c:v>-3495.10308079066</c:v>
                </c:pt>
                <c:pt idx="13">
                  <c:v>-2619.9967088595781</c:v>
                </c:pt>
                <c:pt idx="14">
                  <c:v>-2027.8197505004612</c:v>
                </c:pt>
                <c:pt idx="15">
                  <c:v>-1613.9646020312694</c:v>
                </c:pt>
                <c:pt idx="16">
                  <c:v>-1324.383730490775</c:v>
                </c:pt>
                <c:pt idx="17">
                  <c:v>-15121.774195650607</c:v>
                </c:pt>
                <c:pt idx="18">
                  <c:v>-11349.784204315361</c:v>
                </c:pt>
                <c:pt idx="19">
                  <c:v>-6606.6228072981221</c:v>
                </c:pt>
                <c:pt idx="20">
                  <c:v>-5755.4586210668076</c:v>
                </c:pt>
                <c:pt idx="21">
                  <c:v>-5192.7802079128933</c:v>
                </c:pt>
                <c:pt idx="22">
                  <c:v>-4796.3596245500567</c:v>
                </c:pt>
                <c:pt idx="23">
                  <c:v>-2766.8400188371215</c:v>
                </c:pt>
                <c:pt idx="24">
                  <c:v>-2112.0970641850572</c:v>
                </c:pt>
                <c:pt idx="25">
                  <c:v>-1671.4202549497134</c:v>
                </c:pt>
                <c:pt idx="26">
                  <c:v>-1373.1209425343791</c:v>
                </c:pt>
                <c:pt idx="27">
                  <c:v>-1164.8315203312002</c:v>
                </c:pt>
                <c:pt idx="28">
                  <c:v>-1019.2387095507796</c:v>
                </c:pt>
                <c:pt idx="29">
                  <c:v>-16917.494328934037</c:v>
                </c:pt>
                <c:pt idx="30">
                  <c:v>-12691.125624236784</c:v>
                </c:pt>
                <c:pt idx="31">
                  <c:v>-7327.6917823134008</c:v>
                </c:pt>
                <c:pt idx="32">
                  <c:v>-6393.8804869283031</c:v>
                </c:pt>
                <c:pt idx="33">
                  <c:v>-5777.2874939298581</c:v>
                </c:pt>
                <c:pt idx="34">
                  <c:v>-5342.2021376494458</c:v>
                </c:pt>
                <c:pt idx="35">
                  <c:v>-3034.9314207524153</c:v>
                </c:pt>
                <c:pt idx="36">
                  <c:v>-2294.8997513931649</c:v>
                </c:pt>
                <c:pt idx="37">
                  <c:v>-1796.8606586281101</c:v>
                </c:pt>
                <c:pt idx="38">
                  <c:v>-1459.7387778062873</c:v>
                </c:pt>
                <c:pt idx="39">
                  <c:v>-1224.2646025785145</c:v>
                </c:pt>
                <c:pt idx="40">
                  <c:v>-1059.6158181829805</c:v>
                </c:pt>
                <c:pt idx="41">
                  <c:v>-18944.518179518534</c:v>
                </c:pt>
                <c:pt idx="42">
                  <c:v>-14189.469324153119</c:v>
                </c:pt>
                <c:pt idx="43">
                  <c:v>-8155.3452021367611</c:v>
                </c:pt>
                <c:pt idx="44">
                  <c:v>-7104.6293773918642</c:v>
                </c:pt>
                <c:pt idx="45">
                  <c:v>-6410.8406732182511</c:v>
                </c:pt>
                <c:pt idx="46">
                  <c:v>-5921.2869232264457</c:v>
                </c:pt>
                <c:pt idx="47">
                  <c:v>-3325.5512921970212</c:v>
                </c:pt>
                <c:pt idx="48">
                  <c:v>-2492.9778037575638</c:v>
                </c:pt>
                <c:pt idx="49">
                  <c:v>-1932.6581427588662</c:v>
                </c:pt>
                <c:pt idx="50">
                  <c:v>-1553.3786059648967</c:v>
                </c:pt>
                <c:pt idx="51">
                  <c:v>-1288.4583444021978</c:v>
                </c:pt>
                <c:pt idx="52">
                  <c:v>-1103.2204518751826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07304"/>
        <c:axId val="180409736"/>
      </c:scatterChart>
      <c:valAx>
        <c:axId val="180407304"/>
        <c:scaling>
          <c:orientation val="minMax"/>
        </c:scaling>
        <c:delete val="0"/>
        <c:axPos val="b"/>
        <c:majorGridlines>
          <c:spPr>
            <a:ln>
              <a:solidFill>
                <a:srgbClr val="FFFFFF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1" i="0"/>
                </a:pPr>
                <a:r>
                  <a:rPr lang="es-AR"/>
                  <a:t>Month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180409736"/>
        <c:crosses val="autoZero"/>
        <c:crossBetween val="midCat"/>
      </c:valAx>
      <c:valAx>
        <c:axId val="18040973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_(* #,##0_);_(* \(#,##0\);_(* &quot;-&quot;??_);_(@_)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180407304"/>
        <c:crosses val="autoZero"/>
        <c:crossBetween val="midCat"/>
      </c:valAx>
      <c:spPr>
        <a:solidFill>
          <a:srgbClr val="FFFFFF"/>
        </a:solidFill>
      </c:spPr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876300</xdr:colOff>
      <xdr:row>4</xdr:row>
      <xdr:rowOff>9525</xdr:rowOff>
    </xdr:from>
    <xdr:to>
      <xdr:col>9</xdr:col>
      <xdr:colOff>0</xdr:colOff>
      <xdr:row>27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9</xdr:col>
      <xdr:colOff>266700</xdr:colOff>
      <xdr:row>4</xdr:row>
      <xdr:rowOff>9525</xdr:rowOff>
    </xdr:from>
    <xdr:to>
      <xdr:col>19</xdr:col>
      <xdr:colOff>733425</xdr:colOff>
      <xdr:row>28</xdr:row>
      <xdr:rowOff>9525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xpandedramblings.com/index.php/by-the-numbers-a-few-important-linkedin-stats/" TargetMode="External"/><Relationship Id="rId2" Type="http://schemas.openxmlformats.org/officeDocument/2006/relationships/hyperlink" Target="http://press.linkedin.com/about" TargetMode="External"/><Relationship Id="rId1" Type="http://schemas.openxmlformats.org/officeDocument/2006/relationships/hyperlink" Target="http://press.linkedin.com/about" TargetMode="External"/><Relationship Id="rId5" Type="http://schemas.openxmlformats.org/officeDocument/2006/relationships/hyperlink" Target="http://press.linkedin.com/about" TargetMode="External"/><Relationship Id="rId4" Type="http://schemas.openxmlformats.org/officeDocument/2006/relationships/hyperlink" Target="http://www.socialbakers.com/linkedin-statistics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people.stern.nyu.edu/adamodar/New_Home_Page/datafile/Betas.html" TargetMode="External"/><Relationship Id="rId2" Type="http://schemas.openxmlformats.org/officeDocument/2006/relationships/hyperlink" Target="http://www.ambito.com/economia/mercados/riesgo-pais/info/?id=2" TargetMode="External"/><Relationship Id="rId1" Type="http://schemas.openxmlformats.org/officeDocument/2006/relationships/hyperlink" Target="http://www.bloomberg.com/markets/rates-bonds/government-bonds/us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techcrunch.com/2014/09/16/time-spent-in-apps-up-21-over-last-year/" TargetMode="External"/><Relationship Id="rId2" Type="http://schemas.openxmlformats.org/officeDocument/2006/relationships/hyperlink" Target="http://adexchanger.com/agencies/2014-forecasts-global-ad-dollars-surge-driven-by-mobile-social/" TargetMode="External"/><Relationship Id="rId1" Type="http://schemas.openxmlformats.org/officeDocument/2006/relationships/hyperlink" Target="http://monetizepros.com/blog/2014/average-cpm-ra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workbookViewId="0"/>
  </sheetViews>
  <sheetFormatPr defaultColWidth="17.28515625" defaultRowHeight="15" customHeight="1" x14ac:dyDescent="0.2"/>
  <cols>
    <col min="1" max="1" width="32" customWidth="1"/>
    <col min="2" max="2" width="11.140625" customWidth="1"/>
    <col min="3" max="3" width="9.140625" customWidth="1"/>
    <col min="4" max="6" width="9.85546875" customWidth="1"/>
    <col min="7" max="8" width="10.140625" customWidth="1"/>
    <col min="9" max="12" width="14.42578125" customWidth="1"/>
  </cols>
  <sheetData>
    <row r="1" spans="1:12" ht="15.75" customHeight="1" x14ac:dyDescent="0.25">
      <c r="A1" s="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2.75" customHeight="1" x14ac:dyDescent="0.2">
      <c r="A2" s="12"/>
      <c r="B2" s="12">
        <v>2014</v>
      </c>
      <c r="C2" s="12">
        <v>2015</v>
      </c>
      <c r="D2" s="12">
        <v>2016</v>
      </c>
      <c r="E2" s="12">
        <v>2017</v>
      </c>
      <c r="F2" s="12">
        <v>2018</v>
      </c>
      <c r="G2" s="12">
        <v>2019</v>
      </c>
      <c r="H2" s="12">
        <v>2020</v>
      </c>
      <c r="I2" s="12"/>
      <c r="J2" s="12"/>
      <c r="K2" s="12"/>
      <c r="L2" s="12"/>
    </row>
    <row r="3" spans="1:12" ht="12.75" customHeight="1" x14ac:dyDescent="0.2">
      <c r="A3" s="15" t="s">
        <v>20</v>
      </c>
      <c r="B3" s="16">
        <v>332000000</v>
      </c>
      <c r="C3" s="15"/>
      <c r="D3" s="15"/>
      <c r="E3" s="15"/>
      <c r="F3" s="15"/>
      <c r="G3" s="15"/>
      <c r="H3" s="15"/>
      <c r="I3" s="17" t="s">
        <v>23</v>
      </c>
      <c r="J3" s="17"/>
      <c r="K3" s="17"/>
      <c r="L3" s="17"/>
    </row>
    <row r="4" spans="1:12" ht="12.75" customHeight="1" x14ac:dyDescent="0.2">
      <c r="A4" s="19" t="s">
        <v>24</v>
      </c>
      <c r="B4" s="33">
        <v>46000000</v>
      </c>
      <c r="C4" s="19"/>
      <c r="D4" s="19"/>
      <c r="E4" s="19"/>
      <c r="F4" s="19"/>
      <c r="G4" s="19"/>
      <c r="H4" s="19"/>
      <c r="I4" s="17" t="s">
        <v>23</v>
      </c>
      <c r="J4" s="17"/>
      <c r="K4" s="17"/>
      <c r="L4" s="17"/>
    </row>
    <row r="5" spans="1:12" ht="12.75" customHeight="1" x14ac:dyDescent="0.2">
      <c r="A5" s="12" t="s">
        <v>49</v>
      </c>
      <c r="B5" s="35">
        <v>0.4</v>
      </c>
      <c r="C5" s="35">
        <f t="shared" ref="C5:H5" si="0">B5</f>
        <v>0.4</v>
      </c>
      <c r="D5" s="35">
        <f t="shared" si="0"/>
        <v>0.4</v>
      </c>
      <c r="E5" s="35">
        <f t="shared" si="0"/>
        <v>0.4</v>
      </c>
      <c r="F5" s="35">
        <f t="shared" si="0"/>
        <v>0.4</v>
      </c>
      <c r="G5" s="35">
        <f t="shared" si="0"/>
        <v>0.4</v>
      </c>
      <c r="H5" s="35">
        <f t="shared" si="0"/>
        <v>0.4</v>
      </c>
      <c r="I5" s="17" t="s">
        <v>56</v>
      </c>
      <c r="J5" s="17"/>
      <c r="K5" s="17"/>
      <c r="L5" s="17"/>
    </row>
    <row r="6" spans="1:12" ht="12.75" customHeight="1" x14ac:dyDescent="0.2">
      <c r="A6" s="12"/>
      <c r="B6" s="12">
        <v>41450000</v>
      </c>
      <c r="C6" s="48">
        <f t="shared" ref="C6:H6" si="1">B6*1.009</f>
        <v>41823049.999999993</v>
      </c>
      <c r="D6" s="61">
        <f t="shared" si="1"/>
        <v>42199457.449999988</v>
      </c>
      <c r="E6" s="61">
        <f t="shared" si="1"/>
        <v>42579252.56704998</v>
      </c>
      <c r="F6" s="61">
        <f t="shared" si="1"/>
        <v>42962465.840153426</v>
      </c>
      <c r="G6" s="61">
        <f t="shared" si="1"/>
        <v>43349128.032714799</v>
      </c>
      <c r="H6" s="61">
        <f t="shared" si="1"/>
        <v>43739270.185009226</v>
      </c>
      <c r="I6" s="12"/>
      <c r="J6" s="12"/>
      <c r="K6" s="12"/>
      <c r="L6" s="12"/>
    </row>
    <row r="7" spans="1:12" ht="12.75" customHeight="1" x14ac:dyDescent="0.2">
      <c r="A7" s="15" t="s">
        <v>108</v>
      </c>
      <c r="B7" s="16">
        <v>4100000</v>
      </c>
      <c r="C7" s="16">
        <f t="shared" ref="C7:H7" si="2">B7*(1+C10)</f>
        <v>4920000</v>
      </c>
      <c r="D7" s="16">
        <f t="shared" si="2"/>
        <v>5904000</v>
      </c>
      <c r="E7" s="16">
        <f t="shared" si="2"/>
        <v>7084800</v>
      </c>
      <c r="F7" s="16">
        <f t="shared" si="2"/>
        <v>8501760</v>
      </c>
      <c r="G7" s="16">
        <f t="shared" si="2"/>
        <v>9777024</v>
      </c>
      <c r="H7" s="16">
        <f t="shared" si="2"/>
        <v>10754726.4</v>
      </c>
      <c r="I7" s="17" t="s">
        <v>114</v>
      </c>
      <c r="J7" s="17"/>
      <c r="K7" s="17"/>
      <c r="L7" s="17"/>
    </row>
    <row r="8" spans="1:12" ht="12.75" customHeight="1" x14ac:dyDescent="0.2">
      <c r="A8" s="12" t="s">
        <v>115</v>
      </c>
      <c r="B8" s="61">
        <f t="shared" ref="B8:H8" si="3">B7*B5</f>
        <v>1640000</v>
      </c>
      <c r="C8" s="61">
        <f t="shared" si="3"/>
        <v>1968000</v>
      </c>
      <c r="D8" s="61">
        <f t="shared" si="3"/>
        <v>2361600</v>
      </c>
      <c r="E8" s="61">
        <f t="shared" si="3"/>
        <v>2833920</v>
      </c>
      <c r="F8" s="61">
        <f t="shared" si="3"/>
        <v>3400704</v>
      </c>
      <c r="G8" s="61">
        <f t="shared" si="3"/>
        <v>3910809.6000000001</v>
      </c>
      <c r="H8" s="61">
        <f t="shared" si="3"/>
        <v>4301890.5600000005</v>
      </c>
      <c r="I8" s="12"/>
      <c r="J8" s="12"/>
      <c r="K8" s="12"/>
      <c r="L8" s="12"/>
    </row>
    <row r="9" spans="1:12" ht="12.75" customHeight="1" x14ac:dyDescent="0.2">
      <c r="A9" s="12" t="s">
        <v>121</v>
      </c>
      <c r="B9" s="61">
        <f t="shared" ref="B9:H9" si="4">B8*0.5</f>
        <v>820000</v>
      </c>
      <c r="C9" s="61">
        <f t="shared" si="4"/>
        <v>984000</v>
      </c>
      <c r="D9" s="61">
        <f t="shared" si="4"/>
        <v>1180800</v>
      </c>
      <c r="E9" s="61">
        <f t="shared" si="4"/>
        <v>1416960</v>
      </c>
      <c r="F9" s="61">
        <f t="shared" si="4"/>
        <v>1700352</v>
      </c>
      <c r="G9" s="61">
        <f t="shared" si="4"/>
        <v>1955404.8</v>
      </c>
      <c r="H9" s="61">
        <f t="shared" si="4"/>
        <v>2150945.2800000003</v>
      </c>
      <c r="I9" s="12"/>
      <c r="J9" s="12"/>
      <c r="K9" s="12"/>
      <c r="L9" s="12"/>
    </row>
    <row r="10" spans="1:12" ht="12.75" customHeight="1" x14ac:dyDescent="0.2">
      <c r="A10" s="12" t="s">
        <v>123</v>
      </c>
      <c r="B10" s="35">
        <v>0.32</v>
      </c>
      <c r="C10" s="66">
        <v>0.2</v>
      </c>
      <c r="D10" s="66">
        <v>0.2</v>
      </c>
      <c r="E10" s="66">
        <v>0.2</v>
      </c>
      <c r="F10" s="66">
        <v>0.2</v>
      </c>
      <c r="G10" s="66">
        <v>0.15</v>
      </c>
      <c r="H10" s="66">
        <v>0.1</v>
      </c>
      <c r="I10" s="12" t="s">
        <v>126</v>
      </c>
      <c r="J10" s="12"/>
      <c r="K10" s="12"/>
      <c r="L10" s="12"/>
    </row>
    <row r="11" spans="1:12" ht="12.75" customHeight="1" x14ac:dyDescent="0.2">
      <c r="A11" s="12" t="s">
        <v>127</v>
      </c>
      <c r="B11" s="66">
        <f t="shared" ref="B11:H11" si="5">B7/B6</f>
        <v>9.8914354644149577E-2</v>
      </c>
      <c r="C11" s="66">
        <f t="shared" si="5"/>
        <v>0.11763847925964273</v>
      </c>
      <c r="D11" s="66">
        <f t="shared" si="5"/>
        <v>0.13990701200353944</v>
      </c>
      <c r="E11" s="66">
        <f t="shared" si="5"/>
        <v>0.16639089633721243</v>
      </c>
      <c r="F11" s="66">
        <f t="shared" si="5"/>
        <v>0.19788808285892462</v>
      </c>
      <c r="G11" s="66">
        <f t="shared" si="5"/>
        <v>0.2255414224853948</v>
      </c>
      <c r="H11" s="66">
        <f t="shared" si="5"/>
        <v>0.24588262114364157</v>
      </c>
      <c r="I11" s="10"/>
      <c r="J11" s="12"/>
      <c r="K11" s="12"/>
      <c r="L11" s="12"/>
    </row>
    <row r="12" spans="1:12" ht="12.75" customHeight="1" x14ac:dyDescent="0.2">
      <c r="A12" s="12" t="s">
        <v>128</v>
      </c>
      <c r="B12" s="66">
        <f t="shared" ref="B12:H12" si="6">B7/(B6*0.67)</f>
        <v>0.14763336514052175</v>
      </c>
      <c r="C12" s="66">
        <f t="shared" si="6"/>
        <v>0.17557981979051152</v>
      </c>
      <c r="D12" s="66">
        <f t="shared" si="6"/>
        <v>0.20881643582617826</v>
      </c>
      <c r="E12" s="66">
        <f t="shared" si="6"/>
        <v>0.24834462139882452</v>
      </c>
      <c r="F12" s="66">
        <f t="shared" si="6"/>
        <v>0.29535534755063375</v>
      </c>
      <c r="G12" s="66">
        <f t="shared" si="6"/>
        <v>0.33662898878417136</v>
      </c>
      <c r="H12" s="66">
        <f t="shared" si="6"/>
        <v>0.36698898678155456</v>
      </c>
      <c r="I12" s="17"/>
      <c r="J12" s="17"/>
      <c r="K12" s="17"/>
      <c r="L12" s="17"/>
    </row>
    <row r="13" spans="1:12" ht="12.75" customHeight="1" x14ac:dyDescent="0.2">
      <c r="A13" s="19" t="s">
        <v>134</v>
      </c>
      <c r="B13" s="33">
        <v>19000000</v>
      </c>
      <c r="C13" s="19"/>
      <c r="D13" s="19"/>
      <c r="E13" s="19"/>
      <c r="F13" s="19"/>
      <c r="G13" s="19"/>
      <c r="H13" s="19"/>
      <c r="I13" s="17" t="s">
        <v>23</v>
      </c>
      <c r="J13" s="17"/>
      <c r="K13" s="17"/>
      <c r="L13" s="17"/>
    </row>
    <row r="14" spans="1:12" ht="12.75" customHeight="1" x14ac:dyDescent="0.2">
      <c r="A14" s="12"/>
      <c r="B14" s="48">
        <f t="shared" ref="B14:C14" si="7">B7*0.4</f>
        <v>1640000</v>
      </c>
      <c r="C14" s="48">
        <f t="shared" si="7"/>
        <v>1968000</v>
      </c>
      <c r="D14" s="12"/>
      <c r="E14" s="12"/>
      <c r="F14" s="12"/>
      <c r="G14" s="12"/>
      <c r="H14" s="12"/>
      <c r="I14" s="12"/>
      <c r="J14" s="12"/>
      <c r="K14" s="12"/>
      <c r="L14" s="12"/>
    </row>
    <row r="15" spans="1:12" ht="12.75" customHeight="1" x14ac:dyDescent="0.2">
      <c r="A15" s="12" t="s">
        <v>135</v>
      </c>
      <c r="B15" s="12">
        <f>B38</f>
        <v>20.5</v>
      </c>
      <c r="C15" s="48">
        <f t="shared" ref="C15:H15" si="8">B15</f>
        <v>20.5</v>
      </c>
      <c r="D15" s="48">
        <f t="shared" si="8"/>
        <v>20.5</v>
      </c>
      <c r="E15" s="48">
        <f t="shared" si="8"/>
        <v>20.5</v>
      </c>
      <c r="F15" s="48">
        <f t="shared" si="8"/>
        <v>20.5</v>
      </c>
      <c r="G15" s="48">
        <f t="shared" si="8"/>
        <v>20.5</v>
      </c>
      <c r="H15" s="48">
        <f t="shared" si="8"/>
        <v>20.5</v>
      </c>
      <c r="I15" s="12"/>
      <c r="J15" s="12"/>
      <c r="K15" s="12"/>
      <c r="L15" s="12"/>
    </row>
    <row r="16" spans="1:12" ht="12.75" customHeight="1" x14ac:dyDescent="0.2">
      <c r="A16" s="12" t="s">
        <v>136</v>
      </c>
      <c r="B16" s="35">
        <v>0.1</v>
      </c>
      <c r="C16" s="35">
        <f t="shared" ref="C16:H16" si="9">B16</f>
        <v>0.1</v>
      </c>
      <c r="D16" s="35">
        <f t="shared" si="9"/>
        <v>0.1</v>
      </c>
      <c r="E16" s="35">
        <f t="shared" si="9"/>
        <v>0.1</v>
      </c>
      <c r="F16" s="35">
        <f t="shared" si="9"/>
        <v>0.1</v>
      </c>
      <c r="G16" s="35">
        <f t="shared" si="9"/>
        <v>0.1</v>
      </c>
      <c r="H16" s="35">
        <f t="shared" si="9"/>
        <v>0.1</v>
      </c>
      <c r="I16" s="12"/>
      <c r="J16" s="12"/>
      <c r="K16" s="12"/>
      <c r="L16" s="12"/>
    </row>
    <row r="17" spans="1:12" ht="12.75" customHeight="1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</row>
    <row r="18" spans="1:12" ht="12.75" customHeight="1" x14ac:dyDescent="0.2">
      <c r="A18" s="75" t="s">
        <v>138</v>
      </c>
      <c r="B18" s="15"/>
      <c r="C18" s="15">
        <v>10000</v>
      </c>
      <c r="D18" s="15">
        <v>15000</v>
      </c>
      <c r="E18" s="15">
        <v>22000</v>
      </c>
      <c r="F18" s="15">
        <v>25000</v>
      </c>
      <c r="G18" s="15">
        <v>30000</v>
      </c>
      <c r="H18" s="79">
        <v>35000</v>
      </c>
      <c r="I18" s="12"/>
      <c r="J18" s="12"/>
      <c r="K18" s="12"/>
      <c r="L18" s="12"/>
    </row>
    <row r="19" spans="1:12" ht="12.75" customHeight="1" x14ac:dyDescent="0.2">
      <c r="A19" s="80" t="s">
        <v>141</v>
      </c>
      <c r="B19" s="48">
        <f t="shared" ref="B19:H19" si="10">B18*2</f>
        <v>0</v>
      </c>
      <c r="C19" s="48">
        <f t="shared" si="10"/>
        <v>20000</v>
      </c>
      <c r="D19" s="48">
        <f t="shared" si="10"/>
        <v>30000</v>
      </c>
      <c r="E19" s="48">
        <f t="shared" si="10"/>
        <v>44000</v>
      </c>
      <c r="F19" s="48">
        <f t="shared" si="10"/>
        <v>50000</v>
      </c>
      <c r="G19" s="48">
        <f t="shared" si="10"/>
        <v>60000</v>
      </c>
      <c r="H19" s="82">
        <f t="shared" si="10"/>
        <v>70000</v>
      </c>
      <c r="I19" s="12"/>
      <c r="J19" s="12"/>
      <c r="K19" s="12"/>
      <c r="L19" s="12"/>
    </row>
    <row r="20" spans="1:12" ht="28.5" customHeight="1" x14ac:dyDescent="0.2">
      <c r="A20" s="84" t="s">
        <v>144</v>
      </c>
      <c r="B20" s="85">
        <f t="shared" ref="B20:H20" si="11">B19/B8</f>
        <v>0</v>
      </c>
      <c r="C20" s="85">
        <f t="shared" si="11"/>
        <v>1.016260162601626E-2</v>
      </c>
      <c r="D20" s="85">
        <f t="shared" si="11"/>
        <v>1.2703252032520325E-2</v>
      </c>
      <c r="E20" s="85">
        <f t="shared" si="11"/>
        <v>1.5526196928635954E-2</v>
      </c>
      <c r="F20" s="85">
        <f t="shared" si="11"/>
        <v>1.4702838000602228E-2</v>
      </c>
      <c r="G20" s="85">
        <f t="shared" si="11"/>
        <v>1.5342091826715368E-2</v>
      </c>
      <c r="H20" s="88">
        <f t="shared" si="11"/>
        <v>1.6271915573789025E-2</v>
      </c>
      <c r="I20" s="12"/>
      <c r="J20" s="12"/>
      <c r="K20" s="12"/>
      <c r="L20" s="12"/>
    </row>
    <row r="21" spans="1:12" ht="15.75" customHeight="1" x14ac:dyDescent="0.2">
      <c r="A21" s="84" t="s">
        <v>146</v>
      </c>
      <c r="B21" s="85">
        <f t="shared" ref="B21:H21" si="12">B19/B9</f>
        <v>0</v>
      </c>
      <c r="C21" s="85">
        <f t="shared" si="12"/>
        <v>2.032520325203252E-2</v>
      </c>
      <c r="D21" s="85">
        <f t="shared" si="12"/>
        <v>2.540650406504065E-2</v>
      </c>
      <c r="E21" s="85">
        <f t="shared" si="12"/>
        <v>3.1052393857271907E-2</v>
      </c>
      <c r="F21" s="85">
        <f t="shared" si="12"/>
        <v>2.9405676001204455E-2</v>
      </c>
      <c r="G21" s="85">
        <f t="shared" si="12"/>
        <v>3.0684183653430737E-2</v>
      </c>
      <c r="H21" s="88">
        <f t="shared" si="12"/>
        <v>3.2543831147578049E-2</v>
      </c>
      <c r="I21" s="12"/>
      <c r="J21" s="12"/>
      <c r="K21" s="12"/>
      <c r="L21" s="12"/>
    </row>
    <row r="22" spans="1:12" ht="15.75" customHeight="1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</row>
    <row r="23" spans="1:12" ht="12.75" customHeight="1" x14ac:dyDescent="0.2">
      <c r="A23" s="12" t="s">
        <v>147</v>
      </c>
      <c r="B23" s="12">
        <v>2014</v>
      </c>
      <c r="C23" s="12">
        <v>2015</v>
      </c>
      <c r="D23" s="12">
        <v>2016</v>
      </c>
      <c r="E23" s="48">
        <f t="shared" ref="E23:H23" si="13">D23+1</f>
        <v>2017</v>
      </c>
      <c r="F23" s="48">
        <f t="shared" si="13"/>
        <v>2018</v>
      </c>
      <c r="G23" s="48">
        <f t="shared" si="13"/>
        <v>2019</v>
      </c>
      <c r="H23" s="48">
        <f t="shared" si="13"/>
        <v>2020</v>
      </c>
      <c r="I23" s="12"/>
      <c r="J23" s="12" t="s">
        <v>149</v>
      </c>
      <c r="K23" s="12" t="s">
        <v>150</v>
      </c>
      <c r="L23" s="12"/>
    </row>
    <row r="24" spans="1:12" ht="12.75" customHeight="1" x14ac:dyDescent="0.2">
      <c r="A24" s="92" t="s">
        <v>151</v>
      </c>
      <c r="B24" s="92"/>
      <c r="C24" s="93">
        <f t="shared" ref="C24:H24" si="14">SUM(C25:C26)</f>
        <v>49800</v>
      </c>
      <c r="D24" s="93">
        <f t="shared" si="14"/>
        <v>37800</v>
      </c>
      <c r="E24" s="93">
        <f t="shared" si="14"/>
        <v>22800</v>
      </c>
      <c r="F24" s="93">
        <f t="shared" si="14"/>
        <v>12800</v>
      </c>
      <c r="G24" s="93">
        <f t="shared" si="14"/>
        <v>12800</v>
      </c>
      <c r="H24" s="93">
        <f t="shared" si="14"/>
        <v>12800</v>
      </c>
      <c r="I24" s="94" t="s">
        <v>152</v>
      </c>
      <c r="J24" s="95">
        <f>20000000/200000000</f>
        <v>0.1</v>
      </c>
      <c r="K24" s="95">
        <f>2383000/8535490</f>
        <v>0.27918725228428598</v>
      </c>
      <c r="L24" s="95">
        <f>2383000/20000000</f>
        <v>0.11915000000000001</v>
      </c>
    </row>
    <row r="25" spans="1:12" ht="12.75" customHeight="1" x14ac:dyDescent="0.2">
      <c r="A25" s="12" t="s">
        <v>155</v>
      </c>
      <c r="B25" s="12"/>
      <c r="C25" s="48">
        <f>12000+150*12+500*12</f>
        <v>19800</v>
      </c>
      <c r="D25" s="48">
        <f t="shared" ref="D25:H25" si="15">150*12+500*12</f>
        <v>7800</v>
      </c>
      <c r="E25" s="48">
        <f t="shared" si="15"/>
        <v>7800</v>
      </c>
      <c r="F25" s="48">
        <f t="shared" si="15"/>
        <v>7800</v>
      </c>
      <c r="G25" s="48">
        <f t="shared" si="15"/>
        <v>7800</v>
      </c>
      <c r="H25" s="48">
        <f t="shared" si="15"/>
        <v>7800</v>
      </c>
      <c r="I25" s="94" t="s">
        <v>162</v>
      </c>
      <c r="J25" s="95">
        <f>13/41</f>
        <v>0.31707317073170732</v>
      </c>
      <c r="K25" s="95">
        <f>1159075/2301265</f>
        <v>0.50366863442497933</v>
      </c>
      <c r="L25" s="95">
        <f>1156000/13000000</f>
        <v>8.8923076923076924E-2</v>
      </c>
    </row>
    <row r="26" spans="1:12" ht="12.75" customHeight="1" x14ac:dyDescent="0.2">
      <c r="A26" s="12" t="s">
        <v>164</v>
      </c>
      <c r="B26" s="12"/>
      <c r="C26" s="12">
        <v>30000</v>
      </c>
      <c r="D26" s="12">
        <v>30000</v>
      </c>
      <c r="E26" s="12">
        <v>15000</v>
      </c>
      <c r="F26" s="12">
        <v>5000</v>
      </c>
      <c r="G26" s="12">
        <v>5000</v>
      </c>
      <c r="H26" s="12">
        <v>5000</v>
      </c>
      <c r="I26" s="94" t="s">
        <v>165</v>
      </c>
      <c r="J26" s="12"/>
      <c r="K26" s="99">
        <v>2249946</v>
      </c>
      <c r="L26" s="95">
        <f>K26/20000000</f>
        <v>0.11249729999999999</v>
      </c>
    </row>
    <row r="27" spans="1:12" ht="12.75" customHeight="1" x14ac:dyDescent="0.2">
      <c r="A27" s="15" t="s">
        <v>168</v>
      </c>
      <c r="B27" s="15"/>
      <c r="C27" s="102">
        <f t="shared" ref="C27:H27" si="16">C18*C15*C16</f>
        <v>20500</v>
      </c>
      <c r="D27" s="102">
        <f t="shared" si="16"/>
        <v>30750</v>
      </c>
      <c r="E27" s="102">
        <f t="shared" si="16"/>
        <v>45100</v>
      </c>
      <c r="F27" s="102">
        <f t="shared" si="16"/>
        <v>51250</v>
      </c>
      <c r="G27" s="102">
        <f t="shared" si="16"/>
        <v>61500</v>
      </c>
      <c r="H27" s="102">
        <f t="shared" si="16"/>
        <v>71750</v>
      </c>
      <c r="I27" s="94" t="s">
        <v>169</v>
      </c>
      <c r="J27" s="12"/>
      <c r="K27" s="12">
        <v>1195000</v>
      </c>
      <c r="L27" s="95">
        <f>K27/9730000</f>
        <v>0.12281603288797534</v>
      </c>
    </row>
    <row r="28" spans="1:12" ht="12.75" customHeight="1" x14ac:dyDescent="0.2">
      <c r="A28" s="12" t="s">
        <v>170</v>
      </c>
      <c r="B28" s="48">
        <f t="shared" ref="B28:H28" si="17">B27-B24</f>
        <v>0</v>
      </c>
      <c r="C28" s="48">
        <f t="shared" si="17"/>
        <v>-29300</v>
      </c>
      <c r="D28" s="48">
        <f t="shared" si="17"/>
        <v>-7050</v>
      </c>
      <c r="E28" s="48">
        <f t="shared" si="17"/>
        <v>22300</v>
      </c>
      <c r="F28" s="48">
        <f t="shared" si="17"/>
        <v>38450</v>
      </c>
      <c r="G28" s="48">
        <f t="shared" si="17"/>
        <v>48700</v>
      </c>
      <c r="H28" s="48">
        <f t="shared" si="17"/>
        <v>58950</v>
      </c>
      <c r="I28" s="94"/>
      <c r="J28" s="12"/>
      <c r="K28" s="12"/>
      <c r="L28" s="12"/>
    </row>
    <row r="29" spans="1:12" ht="12.75" customHeight="1" x14ac:dyDescent="0.2">
      <c r="A29" s="12"/>
      <c r="B29" s="12"/>
      <c r="C29" s="12"/>
      <c r="D29" s="12"/>
      <c r="E29" s="12"/>
      <c r="F29" s="12"/>
      <c r="G29" s="12"/>
      <c r="H29" s="12"/>
      <c r="I29" s="94"/>
      <c r="J29" s="12"/>
      <c r="K29" s="12"/>
      <c r="L29" s="12"/>
    </row>
    <row r="30" spans="1:12" ht="12.75" customHeight="1" x14ac:dyDescent="0.2">
      <c r="A30" s="12" t="s">
        <v>172</v>
      </c>
      <c r="B30" s="12"/>
      <c r="C30" s="61">
        <f t="shared" ref="C30:H30" si="18">+C24/(C16*C15)</f>
        <v>24292.682926829264</v>
      </c>
      <c r="D30" s="61">
        <f t="shared" si="18"/>
        <v>18439.0243902439</v>
      </c>
      <c r="E30" s="61">
        <f t="shared" si="18"/>
        <v>11121.951219512193</v>
      </c>
      <c r="F30" s="61">
        <f t="shared" si="18"/>
        <v>6243.9024390243894</v>
      </c>
      <c r="G30" s="61">
        <f t="shared" si="18"/>
        <v>6243.9024390243894</v>
      </c>
      <c r="H30" s="61">
        <f t="shared" si="18"/>
        <v>6243.9024390243894</v>
      </c>
      <c r="I30" s="12"/>
      <c r="J30" s="12"/>
      <c r="K30" s="12"/>
      <c r="L30" s="12"/>
    </row>
    <row r="31" spans="1:12" ht="15.75" customHeight="1" x14ac:dyDescent="0.2">
      <c r="A31" s="12" t="s">
        <v>177</v>
      </c>
      <c r="B31" s="12"/>
      <c r="C31" s="61">
        <f>+C30/(52*5)</f>
        <v>93.433395872420249</v>
      </c>
      <c r="D31" s="61"/>
      <c r="E31" s="61"/>
      <c r="F31" s="61"/>
      <c r="G31" s="61"/>
      <c r="H31" s="61"/>
      <c r="I31" s="12"/>
      <c r="J31" s="12"/>
      <c r="K31" s="12"/>
      <c r="L31" s="12"/>
    </row>
    <row r="32" spans="1:12" ht="15.75" customHeight="1" x14ac:dyDescent="0.2">
      <c r="A32" s="12"/>
      <c r="B32" s="12"/>
      <c r="C32" s="66">
        <f>C30*2/C14</f>
        <v>2.4687685901249253E-2</v>
      </c>
      <c r="D32" s="12"/>
      <c r="E32" s="12"/>
      <c r="F32" s="12"/>
      <c r="G32" s="12"/>
      <c r="H32" s="12"/>
      <c r="I32" s="12"/>
      <c r="J32" s="12"/>
      <c r="K32" s="12"/>
      <c r="L32" s="12"/>
    </row>
    <row r="33" spans="1:12" ht="12.75" customHeight="1" x14ac:dyDescent="0.2">
      <c r="A33" s="12" t="s">
        <v>178</v>
      </c>
      <c r="B33" s="35">
        <v>0.12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1:12" ht="12.75" customHeight="1" x14ac:dyDescent="0.2">
      <c r="A34" s="12" t="s">
        <v>179</v>
      </c>
      <c r="B34" s="107">
        <f t="array" ref="B34">NPV(B33,B28:H28)</f>
        <v>58952.706236923812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ht="12.75" customHeight="1" x14ac:dyDescent="0.2">
      <c r="A35" s="12" t="s">
        <v>19</v>
      </c>
      <c r="B35" s="35">
        <f>IRR(C28:H28,B33)</f>
        <v>0.56108560057006218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2" ht="15.75" customHeight="1" x14ac:dyDescent="0.2">
      <c r="A36" s="12"/>
      <c r="B36" s="48">
        <f>B38*C18</f>
        <v>205000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ht="12.75" customHeight="1" x14ac:dyDescent="0.2">
      <c r="A37" s="12" t="s">
        <v>183</v>
      </c>
      <c r="B37" s="61">
        <f>B38*C18*0.9</f>
        <v>184500</v>
      </c>
      <c r="C37" s="35"/>
      <c r="D37" s="12"/>
      <c r="E37" s="12"/>
      <c r="F37" s="12"/>
      <c r="G37" s="12"/>
      <c r="H37" s="12"/>
      <c r="I37" s="12"/>
      <c r="J37" s="12"/>
      <c r="K37" s="12"/>
      <c r="L37" s="12"/>
    </row>
    <row r="38" spans="1:12" ht="12.75" customHeight="1" x14ac:dyDescent="0.2">
      <c r="A38" s="12" t="s">
        <v>184</v>
      </c>
      <c r="B38" s="12">
        <f>SUMPRODUCT(B39:B42,C39:C42)</f>
        <v>20.5</v>
      </c>
      <c r="C38" s="35">
        <f>SUM(C39:C42)</f>
        <v>1</v>
      </c>
      <c r="D38" s="12"/>
      <c r="E38" s="10"/>
      <c r="F38" s="12"/>
      <c r="G38" s="12"/>
      <c r="H38" s="12"/>
      <c r="I38" s="12"/>
      <c r="J38" s="12"/>
      <c r="K38" s="12"/>
      <c r="L38" s="12"/>
    </row>
    <row r="39" spans="1:12" ht="12.75" customHeight="1" x14ac:dyDescent="0.2">
      <c r="A39" s="12" t="s">
        <v>186</v>
      </c>
      <c r="B39" s="12">
        <v>10</v>
      </c>
      <c r="C39" s="35">
        <v>0.2</v>
      </c>
      <c r="D39" s="12"/>
      <c r="E39" s="12"/>
      <c r="F39" s="12"/>
      <c r="G39" s="12"/>
      <c r="H39" s="12"/>
      <c r="I39" s="12"/>
      <c r="J39" s="12"/>
      <c r="K39" s="12"/>
      <c r="L39" s="12"/>
    </row>
    <row r="40" spans="1:12" ht="12.75" customHeight="1" x14ac:dyDescent="0.2">
      <c r="A40" s="12" t="s">
        <v>187</v>
      </c>
      <c r="B40" s="12">
        <v>25</v>
      </c>
      <c r="C40" s="35">
        <v>0.3</v>
      </c>
      <c r="D40" s="12"/>
      <c r="E40" s="12"/>
      <c r="F40" s="12"/>
      <c r="G40" s="12"/>
      <c r="H40" s="12"/>
      <c r="I40" s="12"/>
      <c r="J40" s="12"/>
      <c r="K40" s="12"/>
      <c r="L40" s="12"/>
    </row>
    <row r="41" spans="1:12" ht="12.75" customHeight="1" x14ac:dyDescent="0.2">
      <c r="A41" s="12" t="s">
        <v>188</v>
      </c>
      <c r="B41" s="12">
        <v>10</v>
      </c>
      <c r="C41" s="35">
        <v>0.2</v>
      </c>
      <c r="D41" s="12"/>
      <c r="E41" s="12"/>
      <c r="F41" s="12"/>
      <c r="G41" s="12"/>
      <c r="H41" s="12"/>
      <c r="I41" s="12"/>
      <c r="J41" s="12"/>
      <c r="K41" s="12"/>
      <c r="L41" s="12"/>
    </row>
    <row r="42" spans="1:12" ht="12.75" customHeight="1" x14ac:dyDescent="0.2">
      <c r="A42" s="12" t="s">
        <v>189</v>
      </c>
      <c r="B42" s="12">
        <v>30</v>
      </c>
      <c r="C42" s="35">
        <v>0.3</v>
      </c>
      <c r="D42" s="12"/>
      <c r="E42" s="12"/>
      <c r="F42" s="12"/>
      <c r="G42" s="12"/>
      <c r="H42" s="12"/>
      <c r="I42" s="12"/>
      <c r="J42" s="12"/>
      <c r="K42" s="12"/>
      <c r="L42" s="12"/>
    </row>
  </sheetData>
  <hyperlinks>
    <hyperlink ref="I3" r:id="rId1"/>
    <hyperlink ref="I4" r:id="rId2"/>
    <hyperlink ref="I5" r:id="rId3"/>
    <hyperlink ref="I7" r:id="rId4"/>
    <hyperlink ref="I13" r:id="rId5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H17" sqref="H17"/>
    </sheetView>
  </sheetViews>
  <sheetFormatPr defaultRowHeight="15" x14ac:dyDescent="0.25"/>
  <cols>
    <col min="1" max="1" width="18.85546875" style="181" bestFit="1" customWidth="1"/>
    <col min="2" max="2" width="18" style="181" bestFit="1" customWidth="1"/>
    <col min="3" max="3" width="12" style="181" bestFit="1" customWidth="1"/>
    <col min="4" max="4" width="11" style="181" bestFit="1" customWidth="1"/>
    <col min="5" max="5" width="9.140625" style="181"/>
    <col min="6" max="6" width="14.140625" style="181" bestFit="1" customWidth="1"/>
    <col min="7" max="16384" width="9.140625" style="181"/>
  </cols>
  <sheetData>
    <row r="1" spans="1:5" ht="15.75" thickBot="1" x14ac:dyDescent="0.3">
      <c r="A1" s="194"/>
      <c r="B1" s="193"/>
      <c r="C1" s="193"/>
      <c r="D1" s="193"/>
      <c r="E1" s="193"/>
    </row>
    <row r="2" spans="1:5" x14ac:dyDescent="0.25">
      <c r="A2" s="198" t="s">
        <v>269</v>
      </c>
      <c r="B2" s="201"/>
      <c r="C2" s="201"/>
      <c r="D2" s="201"/>
      <c r="E2" s="201"/>
    </row>
    <row r="3" spans="1:5" ht="15.75" thickBot="1" x14ac:dyDescent="0.3">
      <c r="A3" s="199"/>
      <c r="B3" s="202" t="s">
        <v>268</v>
      </c>
      <c r="C3" s="202"/>
      <c r="D3" s="202"/>
      <c r="E3" s="202"/>
    </row>
    <row r="4" spans="1:5" x14ac:dyDescent="0.25">
      <c r="A4" s="199"/>
      <c r="B4" s="192" t="s">
        <v>267</v>
      </c>
      <c r="C4" s="192" t="s">
        <v>266</v>
      </c>
      <c r="D4" s="203" t="s">
        <v>265</v>
      </c>
      <c r="E4" s="203" t="s">
        <v>264</v>
      </c>
    </row>
    <row r="5" spans="1:5" ht="15.75" thickBot="1" x14ac:dyDescent="0.3">
      <c r="A5" s="200"/>
      <c r="B5" s="191" t="s">
        <v>263</v>
      </c>
      <c r="C5" s="191" t="s">
        <v>262</v>
      </c>
      <c r="D5" s="204"/>
      <c r="E5" s="204"/>
    </row>
    <row r="6" spans="1:5" ht="15.75" thickBot="1" x14ac:dyDescent="0.3">
      <c r="A6" s="188" t="s">
        <v>261</v>
      </c>
      <c r="B6" s="187">
        <v>260</v>
      </c>
      <c r="C6" s="187">
        <v>260</v>
      </c>
      <c r="D6" s="187">
        <v>0</v>
      </c>
      <c r="E6" s="187" t="s">
        <v>247</v>
      </c>
    </row>
    <row r="7" spans="1:5" ht="15.75" thickBot="1" x14ac:dyDescent="0.3">
      <c r="A7" s="188" t="s">
        <v>260</v>
      </c>
      <c r="B7" s="187">
        <v>2.9</v>
      </c>
      <c r="C7" s="187">
        <v>5.4</v>
      </c>
      <c r="D7" s="187">
        <v>2.5</v>
      </c>
      <c r="E7" s="187" t="s">
        <v>259</v>
      </c>
    </row>
    <row r="8" spans="1:5" ht="15.75" thickBot="1" x14ac:dyDescent="0.3">
      <c r="A8" s="190" t="s">
        <v>258</v>
      </c>
      <c r="B8" s="189">
        <v>1.9</v>
      </c>
      <c r="C8" s="189">
        <v>2.4</v>
      </c>
      <c r="D8" s="189">
        <v>500</v>
      </c>
      <c r="E8" s="189" t="s">
        <v>257</v>
      </c>
    </row>
    <row r="9" spans="1:5" ht="15.75" thickBot="1" x14ac:dyDescent="0.3">
      <c r="A9" s="188" t="s">
        <v>256</v>
      </c>
      <c r="B9" s="187">
        <v>720</v>
      </c>
      <c r="C9" s="187">
        <v>720</v>
      </c>
      <c r="D9" s="187">
        <v>0</v>
      </c>
      <c r="E9" s="187" t="s">
        <v>247</v>
      </c>
    </row>
    <row r="10" spans="1:5" ht="15.75" thickBot="1" x14ac:dyDescent="0.3">
      <c r="A10" s="188" t="s">
        <v>255</v>
      </c>
      <c r="B10" s="187">
        <v>2.4</v>
      </c>
      <c r="C10" s="187">
        <v>2.4</v>
      </c>
      <c r="D10" s="187">
        <v>0</v>
      </c>
      <c r="E10" s="187" t="s">
        <v>247</v>
      </c>
    </row>
    <row r="11" spans="1:5" ht="15.75" thickBot="1" x14ac:dyDescent="0.3">
      <c r="A11" s="188" t="s">
        <v>254</v>
      </c>
      <c r="B11" s="187">
        <v>720</v>
      </c>
      <c r="C11" s="187">
        <v>720</v>
      </c>
      <c r="D11" s="187">
        <v>0</v>
      </c>
      <c r="E11" s="187" t="s">
        <v>247</v>
      </c>
    </row>
    <row r="12" spans="1:5" ht="15.75" thickBot="1" x14ac:dyDescent="0.3">
      <c r="A12" s="188" t="s">
        <v>253</v>
      </c>
      <c r="B12" s="187">
        <v>390</v>
      </c>
      <c r="C12" s="187">
        <v>390</v>
      </c>
      <c r="D12" s="187">
        <v>0</v>
      </c>
      <c r="E12" s="187" t="s">
        <v>247</v>
      </c>
    </row>
    <row r="13" spans="1:5" ht="15.75" thickBot="1" x14ac:dyDescent="0.3">
      <c r="A13" s="188" t="s">
        <v>252</v>
      </c>
      <c r="B13" s="187">
        <v>20</v>
      </c>
      <c r="C13" s="187">
        <v>50</v>
      </c>
      <c r="D13" s="187">
        <v>30</v>
      </c>
      <c r="E13" s="187" t="s">
        <v>251</v>
      </c>
    </row>
    <row r="14" spans="1:5" ht="15.75" thickBot="1" x14ac:dyDescent="0.3">
      <c r="A14" s="188" t="s">
        <v>250</v>
      </c>
      <c r="B14" s="187">
        <v>10</v>
      </c>
      <c r="C14" s="187">
        <v>10</v>
      </c>
      <c r="D14" s="187">
        <v>0</v>
      </c>
      <c r="E14" s="187" t="s">
        <v>247</v>
      </c>
    </row>
    <row r="15" spans="1:5" ht="15.75" thickBot="1" x14ac:dyDescent="0.3">
      <c r="A15" s="188" t="s">
        <v>249</v>
      </c>
      <c r="B15" s="187">
        <v>10</v>
      </c>
      <c r="C15" s="187">
        <v>10</v>
      </c>
      <c r="D15" s="187">
        <v>0</v>
      </c>
      <c r="E15" s="187" t="s">
        <v>247</v>
      </c>
    </row>
    <row r="16" spans="1:5" ht="15.75" thickBot="1" x14ac:dyDescent="0.3">
      <c r="A16" s="186" t="s">
        <v>248</v>
      </c>
      <c r="B16" s="185">
        <v>10</v>
      </c>
      <c r="C16" s="185">
        <v>10</v>
      </c>
      <c r="D16" s="185">
        <v>0</v>
      </c>
      <c r="E16" s="185" t="s">
        <v>247</v>
      </c>
    </row>
    <row r="17" spans="1:7" ht="18.75" thickBot="1" x14ac:dyDescent="0.3">
      <c r="A17" s="186" t="s">
        <v>246</v>
      </c>
      <c r="B17" s="185">
        <v>390</v>
      </c>
      <c r="C17" s="185">
        <v>880</v>
      </c>
      <c r="D17" s="185">
        <v>490</v>
      </c>
      <c r="E17" s="185" t="s">
        <v>245</v>
      </c>
      <c r="G17" s="184"/>
    </row>
    <row r="18" spans="1:7" x14ac:dyDescent="0.25">
      <c r="B18" s="181" t="s">
        <v>244</v>
      </c>
      <c r="C18" s="183">
        <f>SUM(C6:C17)</f>
        <v>3060.2</v>
      </c>
    </row>
    <row r="19" spans="1:7" x14ac:dyDescent="0.25">
      <c r="B19" s="181" t="s">
        <v>243</v>
      </c>
      <c r="C19" s="183">
        <f>C18*12</f>
        <v>36722.399999999994</v>
      </c>
    </row>
    <row r="20" spans="1:7" x14ac:dyDescent="0.25">
      <c r="B20" s="181" t="s">
        <v>242</v>
      </c>
      <c r="C20" s="183">
        <f>C19*100/C21</f>
        <v>54323.076923076922</v>
      </c>
    </row>
    <row r="21" spans="1:7" x14ac:dyDescent="0.25">
      <c r="B21" s="181" t="s">
        <v>241</v>
      </c>
      <c r="C21" s="182">
        <v>67.599999999999994</v>
      </c>
    </row>
    <row r="22" spans="1:7" x14ac:dyDescent="0.25">
      <c r="B22" s="181" t="s">
        <v>240</v>
      </c>
    </row>
    <row r="24" spans="1:7" x14ac:dyDescent="0.25">
      <c r="A24" s="181" t="s">
        <v>239</v>
      </c>
    </row>
  </sheetData>
  <mergeCells count="5">
    <mergeCell ref="A2:A5"/>
    <mergeCell ref="B2:E2"/>
    <mergeCell ref="B3:E3"/>
    <mergeCell ref="D4:D5"/>
    <mergeCell ref="E4:E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showGridLines="0" workbookViewId="0"/>
  </sheetViews>
  <sheetFormatPr defaultColWidth="17.28515625" defaultRowHeight="15" customHeight="1" x14ac:dyDescent="0.2"/>
  <cols>
    <col min="1" max="1" width="34.85546875" customWidth="1"/>
    <col min="2" max="2" width="24" customWidth="1"/>
    <col min="3" max="3" width="16.5703125" customWidth="1"/>
    <col min="4" max="4" width="12.85546875" customWidth="1"/>
    <col min="5" max="5" width="16" customWidth="1"/>
    <col min="6" max="6" width="15.85546875" customWidth="1"/>
    <col min="7" max="7" width="16.85546875" customWidth="1"/>
    <col min="8" max="8" width="14.28515625" customWidth="1"/>
    <col min="9" max="9" width="14.7109375" customWidth="1"/>
    <col min="10" max="20" width="14.140625" customWidth="1"/>
  </cols>
  <sheetData>
    <row r="1" spans="1:9" ht="23.25" customHeight="1" x14ac:dyDescent="0.35">
      <c r="A1" s="5" t="s">
        <v>5</v>
      </c>
      <c r="B1" s="7"/>
      <c r="C1" s="7"/>
      <c r="D1" s="7"/>
      <c r="E1" s="7"/>
      <c r="F1" s="7"/>
      <c r="G1" s="7"/>
      <c r="H1" s="7"/>
      <c r="I1" s="7"/>
    </row>
    <row r="2" spans="1:9" ht="15.75" customHeight="1" x14ac:dyDescent="0.25">
      <c r="A2" s="7"/>
      <c r="B2" s="7"/>
      <c r="C2" s="7"/>
      <c r="D2" s="7"/>
      <c r="E2" s="7"/>
      <c r="F2" s="7"/>
      <c r="G2" s="7"/>
      <c r="H2" s="7"/>
      <c r="I2" s="7"/>
    </row>
    <row r="3" spans="1:9" ht="20.25" customHeight="1" x14ac:dyDescent="0.3">
      <c r="A3" s="23" t="s">
        <v>7</v>
      </c>
      <c r="B3" s="23"/>
      <c r="C3" s="7"/>
      <c r="D3" s="7"/>
      <c r="E3" s="7"/>
      <c r="F3" s="7"/>
      <c r="G3" s="7"/>
      <c r="H3" s="7"/>
      <c r="I3" s="7"/>
    </row>
    <row r="4" spans="1:9" ht="16.5" customHeight="1" x14ac:dyDescent="0.25">
      <c r="A4" s="7"/>
      <c r="B4" s="7"/>
      <c r="C4" s="7"/>
      <c r="D4" s="7"/>
      <c r="E4" s="7"/>
      <c r="F4" s="7"/>
      <c r="G4" s="7"/>
      <c r="H4" s="7"/>
      <c r="I4" s="7"/>
    </row>
    <row r="5" spans="1:9" ht="15.75" customHeight="1" x14ac:dyDescent="0.25">
      <c r="A5" s="7" t="s">
        <v>29</v>
      </c>
      <c r="B5" s="25">
        <v>70000</v>
      </c>
      <c r="C5" s="7"/>
      <c r="D5" s="7"/>
      <c r="E5" s="7"/>
      <c r="F5" s="7"/>
      <c r="G5" s="7"/>
      <c r="H5" s="7"/>
      <c r="I5" s="7"/>
    </row>
    <row r="6" spans="1:9" ht="15.75" customHeight="1" x14ac:dyDescent="0.25">
      <c r="A6" s="7"/>
      <c r="B6" s="7"/>
      <c r="C6" s="7"/>
      <c r="D6" s="7"/>
      <c r="E6" s="7"/>
      <c r="F6" s="7"/>
      <c r="G6" s="7"/>
      <c r="H6" s="7"/>
      <c r="I6" s="7"/>
    </row>
    <row r="7" spans="1:9" ht="15.75" customHeight="1" x14ac:dyDescent="0.25">
      <c r="A7" s="7" t="s">
        <v>33</v>
      </c>
      <c r="B7" s="7"/>
      <c r="C7" s="7"/>
      <c r="D7" s="7"/>
      <c r="E7" s="7"/>
      <c r="F7" s="7"/>
      <c r="G7" s="7"/>
      <c r="H7" s="7"/>
      <c r="I7" s="7"/>
    </row>
    <row r="8" spans="1:9" ht="15.75" customHeight="1" x14ac:dyDescent="0.25">
      <c r="A8" s="7" t="s">
        <v>34</v>
      </c>
      <c r="B8" s="25">
        <v>1000</v>
      </c>
      <c r="C8" s="7"/>
      <c r="D8" s="7"/>
      <c r="E8" s="7"/>
      <c r="F8" s="7"/>
      <c r="G8" s="7"/>
      <c r="H8" s="7"/>
      <c r="I8" s="7"/>
    </row>
    <row r="9" spans="1:9" ht="15.75" customHeight="1" x14ac:dyDescent="0.25">
      <c r="A9" s="7" t="s">
        <v>35</v>
      </c>
      <c r="B9" s="26">
        <v>0.25</v>
      </c>
      <c r="C9" s="7"/>
      <c r="D9" s="7"/>
      <c r="E9" s="7"/>
      <c r="F9" s="7"/>
      <c r="G9" s="7"/>
      <c r="H9" s="7"/>
      <c r="I9" s="7"/>
    </row>
    <row r="10" spans="1:9" ht="15.75" customHeight="1" x14ac:dyDescent="0.25">
      <c r="A10" s="7" t="s">
        <v>36</v>
      </c>
      <c r="B10" s="27">
        <f>B8*B9</f>
        <v>250</v>
      </c>
      <c r="C10" s="7"/>
      <c r="D10" s="7"/>
      <c r="E10" s="7"/>
      <c r="F10" s="7"/>
      <c r="G10" s="7"/>
      <c r="H10" s="7"/>
      <c r="I10" s="7"/>
    </row>
    <row r="11" spans="1:9" ht="15.75" customHeight="1" x14ac:dyDescent="0.25">
      <c r="A11" s="7"/>
      <c r="B11" s="7"/>
      <c r="C11" s="7"/>
      <c r="D11" s="7"/>
      <c r="E11" s="7"/>
      <c r="F11" s="7"/>
      <c r="G11" s="7"/>
      <c r="H11" s="7"/>
      <c r="I11" s="7"/>
    </row>
    <row r="12" spans="1:9" ht="15.75" customHeight="1" x14ac:dyDescent="0.25">
      <c r="A12" s="7" t="s">
        <v>37</v>
      </c>
      <c r="B12" s="7"/>
      <c r="C12" s="7"/>
      <c r="D12" s="7"/>
      <c r="E12" s="7"/>
      <c r="F12" s="7"/>
      <c r="G12" s="7"/>
      <c r="H12" s="7"/>
      <c r="I12" s="7"/>
    </row>
    <row r="13" spans="1:9" ht="15.75" customHeight="1" x14ac:dyDescent="0.25">
      <c r="A13" s="7" t="s">
        <v>38</v>
      </c>
      <c r="B13" s="25">
        <v>3000</v>
      </c>
      <c r="C13" s="7"/>
      <c r="D13" s="7"/>
      <c r="E13" s="7"/>
      <c r="F13" s="7"/>
      <c r="G13" s="7"/>
      <c r="H13" s="7"/>
      <c r="I13" s="7"/>
    </row>
    <row r="14" spans="1:9" ht="15.75" customHeight="1" x14ac:dyDescent="0.25">
      <c r="A14" s="7" t="s">
        <v>35</v>
      </c>
      <c r="B14" s="26">
        <v>0.25</v>
      </c>
      <c r="C14" s="7"/>
      <c r="D14" s="7"/>
      <c r="E14" s="7"/>
      <c r="F14" s="7"/>
      <c r="G14" s="7"/>
      <c r="H14" s="7"/>
      <c r="I14" s="7"/>
    </row>
    <row r="15" spans="1:9" ht="15.75" customHeight="1" x14ac:dyDescent="0.25">
      <c r="A15" s="7" t="s">
        <v>40</v>
      </c>
      <c r="B15" s="27">
        <f>B13*B14</f>
        <v>750</v>
      </c>
      <c r="C15" s="7"/>
      <c r="D15" s="7"/>
      <c r="E15" s="7"/>
      <c r="F15" s="7"/>
      <c r="G15" s="7"/>
      <c r="H15" s="7"/>
      <c r="I15" s="7"/>
    </row>
    <row r="16" spans="1:9" ht="15.75" customHeight="1" x14ac:dyDescent="0.25">
      <c r="A16" s="7"/>
      <c r="B16" s="7"/>
      <c r="C16" s="7"/>
      <c r="D16" s="7"/>
      <c r="E16" s="7"/>
      <c r="F16" s="7"/>
      <c r="G16" s="7"/>
      <c r="H16" s="7"/>
      <c r="I16" s="7"/>
    </row>
    <row r="17" spans="1:9" ht="15.75" customHeight="1" x14ac:dyDescent="0.25">
      <c r="A17" s="7" t="s">
        <v>42</v>
      </c>
      <c r="B17" s="7"/>
      <c r="C17" s="7"/>
      <c r="D17" s="7"/>
      <c r="E17" s="7"/>
      <c r="F17" s="7"/>
      <c r="G17" s="7"/>
      <c r="H17" s="7"/>
      <c r="I17" s="7"/>
    </row>
    <row r="18" spans="1:9" ht="15.75" customHeight="1" x14ac:dyDescent="0.25">
      <c r="A18" s="7" t="s">
        <v>43</v>
      </c>
      <c r="B18" s="31">
        <v>0.5</v>
      </c>
      <c r="C18" s="7"/>
      <c r="D18" s="7"/>
      <c r="E18" s="7"/>
      <c r="F18" s="7"/>
      <c r="G18" s="7"/>
      <c r="H18" s="7"/>
      <c r="I18" s="7"/>
    </row>
    <row r="19" spans="1:9" ht="15.75" customHeight="1" x14ac:dyDescent="0.25">
      <c r="A19" s="7" t="s">
        <v>46</v>
      </c>
      <c r="B19" s="31">
        <v>0.3</v>
      </c>
      <c r="C19" s="7"/>
      <c r="D19" s="7"/>
      <c r="E19" s="7"/>
      <c r="F19" s="7"/>
      <c r="G19" s="7"/>
      <c r="H19" s="7"/>
      <c r="I19" s="7"/>
    </row>
    <row r="20" spans="1:9" ht="15.75" customHeight="1" x14ac:dyDescent="0.25">
      <c r="A20" s="32" t="s">
        <v>47</v>
      </c>
      <c r="B20" s="34">
        <f t="shared" ref="B20:B24" si="0">B19*$B$18</f>
        <v>0.15</v>
      </c>
      <c r="C20" s="7"/>
      <c r="D20" s="7"/>
      <c r="E20" s="7"/>
      <c r="F20" s="7"/>
      <c r="G20" s="7"/>
      <c r="H20" s="7"/>
      <c r="I20" s="7"/>
    </row>
    <row r="21" spans="1:9" ht="15.75" customHeight="1" x14ac:dyDescent="0.25">
      <c r="A21" s="7" t="s">
        <v>50</v>
      </c>
      <c r="B21" s="34">
        <f t="shared" si="0"/>
        <v>7.4999999999999997E-2</v>
      </c>
      <c r="C21" s="7"/>
      <c r="D21" s="7"/>
      <c r="E21" s="7"/>
      <c r="F21" s="7"/>
      <c r="G21" s="7"/>
      <c r="H21" s="7"/>
      <c r="I21" s="7"/>
    </row>
    <row r="22" spans="1:9" ht="15.75" customHeight="1" x14ac:dyDescent="0.25">
      <c r="A22" s="32" t="s">
        <v>51</v>
      </c>
      <c r="B22" s="34">
        <f t="shared" si="0"/>
        <v>3.7499999999999999E-2</v>
      </c>
      <c r="C22" s="7"/>
      <c r="D22" s="7"/>
      <c r="E22" s="7"/>
      <c r="F22" s="7"/>
      <c r="G22" s="7"/>
      <c r="H22" s="7"/>
      <c r="I22" s="7"/>
    </row>
    <row r="23" spans="1:9" ht="15.75" customHeight="1" x14ac:dyDescent="0.25">
      <c r="A23" s="7" t="s">
        <v>52</v>
      </c>
      <c r="B23" s="34">
        <f t="shared" si="0"/>
        <v>1.8749999999999999E-2</v>
      </c>
      <c r="C23" s="7"/>
      <c r="D23" s="7"/>
      <c r="E23" s="7"/>
      <c r="F23" s="7"/>
      <c r="G23" s="7"/>
      <c r="H23" s="7"/>
      <c r="I23" s="7"/>
    </row>
    <row r="24" spans="1:9" ht="15.75" customHeight="1" x14ac:dyDescent="0.25">
      <c r="A24" s="32" t="s">
        <v>53</v>
      </c>
      <c r="B24" s="34">
        <f t="shared" si="0"/>
        <v>9.3749999999999997E-3</v>
      </c>
      <c r="C24" s="7"/>
      <c r="D24" s="7"/>
      <c r="E24" s="7"/>
      <c r="F24" s="7"/>
      <c r="G24" s="7"/>
      <c r="H24" s="7"/>
      <c r="I24" s="7"/>
    </row>
    <row r="25" spans="1:9" ht="15.75" customHeight="1" x14ac:dyDescent="0.25">
      <c r="A25" s="32" t="s">
        <v>54</v>
      </c>
      <c r="B25" s="36">
        <f>SUM(B19:B24)</f>
        <v>0.59062499999999996</v>
      </c>
      <c r="C25" s="7"/>
      <c r="D25" s="7"/>
      <c r="E25" s="7"/>
      <c r="F25" s="7"/>
      <c r="G25" s="7"/>
      <c r="H25" s="7"/>
      <c r="I25" s="7"/>
    </row>
    <row r="26" spans="1:9" ht="15.75" customHeight="1" x14ac:dyDescent="0.25">
      <c r="A26" s="32"/>
      <c r="B26" s="41"/>
      <c r="C26" s="7"/>
      <c r="D26" s="7"/>
      <c r="E26" s="7"/>
      <c r="F26" s="7"/>
      <c r="G26" s="7"/>
      <c r="H26" s="7"/>
      <c r="I26" s="7"/>
    </row>
    <row r="27" spans="1:9" ht="15.75" customHeight="1" x14ac:dyDescent="0.25">
      <c r="A27" s="32" t="s">
        <v>58</v>
      </c>
      <c r="B27" s="7"/>
      <c r="C27" s="7"/>
      <c r="D27" s="7"/>
      <c r="E27" s="7"/>
      <c r="F27" s="7"/>
      <c r="G27" s="7"/>
      <c r="H27" s="7"/>
      <c r="I27" s="7"/>
    </row>
    <row r="28" spans="1:9" ht="15.75" customHeight="1" x14ac:dyDescent="0.25">
      <c r="A28" s="32" t="s">
        <v>59</v>
      </c>
      <c r="B28" s="26">
        <v>0.8</v>
      </c>
      <c r="C28" s="7"/>
      <c r="D28" s="7"/>
      <c r="E28" s="7"/>
      <c r="F28" s="7"/>
      <c r="G28" s="7"/>
      <c r="H28" s="7"/>
      <c r="I28" s="7"/>
    </row>
    <row r="29" spans="1:9" ht="15.75" customHeight="1" x14ac:dyDescent="0.25">
      <c r="A29" s="32" t="s">
        <v>60</v>
      </c>
      <c r="B29" s="26">
        <v>0.7</v>
      </c>
      <c r="C29" s="7"/>
      <c r="D29" s="7"/>
      <c r="E29" s="7"/>
      <c r="F29" s="7"/>
      <c r="G29" s="7"/>
      <c r="H29" s="7"/>
      <c r="I29" s="7"/>
    </row>
    <row r="30" spans="1:9" ht="15.75" customHeight="1" x14ac:dyDescent="0.25">
      <c r="A30" s="32" t="s">
        <v>61</v>
      </c>
      <c r="B30" s="46">
        <f t="shared" ref="B30:B32" si="1">(ROW()-ROW(B$29))/(ROW(B$33)-ROW(B$29))*(B$33-B$29)+B$29</f>
        <v>0.67499999999999993</v>
      </c>
      <c r="C30" s="7"/>
      <c r="D30" s="7"/>
      <c r="E30" s="7"/>
      <c r="F30" s="7"/>
      <c r="G30" s="7"/>
      <c r="H30" s="7"/>
      <c r="I30" s="7"/>
    </row>
    <row r="31" spans="1:9" ht="15.75" customHeight="1" x14ac:dyDescent="0.25">
      <c r="A31" s="32" t="s">
        <v>76</v>
      </c>
      <c r="B31" s="46">
        <f t="shared" si="1"/>
        <v>0.64999999999999991</v>
      </c>
      <c r="C31" s="7"/>
      <c r="D31" s="7"/>
      <c r="E31" s="7"/>
      <c r="F31" s="7"/>
      <c r="G31" s="7"/>
      <c r="H31" s="7"/>
      <c r="I31" s="7"/>
    </row>
    <row r="32" spans="1:9" ht="15.75" customHeight="1" x14ac:dyDescent="0.25">
      <c r="A32" s="32" t="s">
        <v>78</v>
      </c>
      <c r="B32" s="46">
        <f t="shared" si="1"/>
        <v>0.625</v>
      </c>
      <c r="C32" s="7"/>
      <c r="D32" s="7"/>
      <c r="E32" s="7"/>
      <c r="F32" s="7"/>
      <c r="G32" s="7"/>
      <c r="H32" s="7"/>
      <c r="I32" s="7"/>
    </row>
    <row r="33" spans="1:10" ht="15.75" customHeight="1" x14ac:dyDescent="0.25">
      <c r="A33" s="32" t="s">
        <v>79</v>
      </c>
      <c r="B33" s="26">
        <v>0.6</v>
      </c>
      <c r="C33" s="7"/>
      <c r="D33" s="7"/>
      <c r="E33" s="7"/>
      <c r="F33" s="7"/>
      <c r="G33" s="7"/>
      <c r="H33" s="7"/>
      <c r="I33" s="7"/>
    </row>
    <row r="34" spans="1:10" ht="15.75" customHeight="1" x14ac:dyDescent="0.25">
      <c r="A34" s="7"/>
      <c r="B34" s="7"/>
      <c r="C34" s="7"/>
      <c r="D34" s="7"/>
      <c r="E34" s="7"/>
      <c r="F34" s="7"/>
      <c r="G34" s="7"/>
      <c r="H34" s="7"/>
      <c r="I34" s="7"/>
    </row>
    <row r="35" spans="1:10" ht="15.75" customHeight="1" x14ac:dyDescent="0.25">
      <c r="A35" s="7"/>
      <c r="B35" s="7"/>
      <c r="C35" s="7"/>
      <c r="D35" s="7"/>
      <c r="E35" s="7"/>
      <c r="F35" s="7"/>
      <c r="G35" s="7"/>
      <c r="H35" s="7"/>
      <c r="I35" s="7"/>
    </row>
    <row r="36" spans="1:10" ht="20.25" customHeight="1" x14ac:dyDescent="0.3">
      <c r="A36" s="23" t="s">
        <v>81</v>
      </c>
      <c r="B36" s="23"/>
      <c r="C36" s="23"/>
      <c r="D36" s="23"/>
      <c r="E36" s="23"/>
      <c r="F36" s="23"/>
      <c r="G36" s="23"/>
      <c r="H36" s="23"/>
      <c r="I36" s="23"/>
    </row>
    <row r="37" spans="1:10" ht="16.5" customHeight="1" x14ac:dyDescent="0.25">
      <c r="A37" s="7"/>
      <c r="B37" s="7"/>
      <c r="C37" s="7"/>
      <c r="D37" s="7"/>
      <c r="E37" s="7"/>
      <c r="F37" s="7"/>
      <c r="G37" s="7"/>
      <c r="H37" s="7"/>
      <c r="I37" s="7"/>
    </row>
    <row r="38" spans="1:10" ht="18" customHeight="1" x14ac:dyDescent="0.3">
      <c r="A38" s="49" t="s">
        <v>82</v>
      </c>
      <c r="B38" s="50" t="s">
        <v>84</v>
      </c>
      <c r="C38" s="50" t="s">
        <v>29</v>
      </c>
      <c r="D38" s="50" t="s">
        <v>89</v>
      </c>
      <c r="E38" s="50" t="s">
        <v>90</v>
      </c>
      <c r="F38" s="50" t="s">
        <v>91</v>
      </c>
      <c r="G38" s="50" t="s">
        <v>92</v>
      </c>
      <c r="H38" s="50" t="s">
        <v>93</v>
      </c>
      <c r="I38" s="50" t="s">
        <v>94</v>
      </c>
      <c r="J38" s="50" t="s">
        <v>95</v>
      </c>
    </row>
    <row r="39" spans="1:10" ht="16.5" hidden="1" customHeight="1" x14ac:dyDescent="0.25">
      <c r="A39" s="51">
        <v>-4</v>
      </c>
      <c r="B39" s="52"/>
      <c r="C39" s="52"/>
      <c r="D39" s="52"/>
      <c r="E39" s="52"/>
      <c r="F39" s="52"/>
      <c r="G39" s="52"/>
      <c r="H39" s="52"/>
      <c r="I39" s="52"/>
    </row>
    <row r="40" spans="1:10" ht="15.75" hidden="1" customHeight="1" x14ac:dyDescent="0.25">
      <c r="A40" s="51">
        <v>-3</v>
      </c>
      <c r="B40" s="52"/>
      <c r="C40" s="52"/>
      <c r="D40" s="52"/>
      <c r="E40" s="52"/>
      <c r="F40" s="52"/>
      <c r="G40" s="52"/>
      <c r="H40" s="52"/>
      <c r="I40" s="52"/>
    </row>
    <row r="41" spans="1:10" ht="15.75" hidden="1" customHeight="1" x14ac:dyDescent="0.25">
      <c r="A41" s="51">
        <v>-2</v>
      </c>
      <c r="B41" s="52"/>
      <c r="C41" s="52"/>
      <c r="D41" s="52"/>
      <c r="E41" s="52"/>
      <c r="F41" s="52"/>
      <c r="G41" s="52"/>
      <c r="H41" s="52"/>
      <c r="I41" s="52"/>
    </row>
    <row r="42" spans="1:10" ht="15.75" hidden="1" customHeight="1" x14ac:dyDescent="0.25">
      <c r="A42" s="51">
        <v>-1</v>
      </c>
      <c r="B42" s="52"/>
      <c r="C42" s="52"/>
      <c r="D42" s="52"/>
      <c r="E42" s="52"/>
      <c r="F42" s="52"/>
      <c r="G42" s="52"/>
      <c r="H42" s="52"/>
      <c r="I42" s="52"/>
    </row>
    <row r="43" spans="1:10" ht="15.75" hidden="1" customHeight="1" x14ac:dyDescent="0.25">
      <c r="A43" s="51">
        <v>0</v>
      </c>
      <c r="B43" s="52"/>
      <c r="C43" s="52"/>
      <c r="D43" s="52"/>
      <c r="E43" s="52"/>
      <c r="F43" s="52"/>
      <c r="G43" s="52"/>
      <c r="H43" s="52"/>
      <c r="I43" s="52"/>
    </row>
    <row r="44" spans="1:10" ht="15.75" customHeight="1" x14ac:dyDescent="0.25">
      <c r="A44" s="62">
        <v>42005</v>
      </c>
      <c r="B44" s="52">
        <v>0</v>
      </c>
      <c r="C44" s="52">
        <f>71000+73000</f>
        <v>144000</v>
      </c>
      <c r="D44" s="52">
        <v>250</v>
      </c>
      <c r="E44" s="52">
        <v>750</v>
      </c>
      <c r="F44" s="52"/>
      <c r="G44" s="52">
        <f t="shared" ref="G44:G91" si="2">SUM(C44:F44)</f>
        <v>145000</v>
      </c>
      <c r="H44" s="52">
        <f t="shared" ref="H44:H91" si="3">-(G44*(1-$B$28)+G43*($B$28-$B$29)+G42*($B$29-$B$30)+G41*($B$30-$B$31)+G40*($B$31-$B$32)+G39*($B$32-$B$33))</f>
        <v>-28999.999999999993</v>
      </c>
      <c r="I44" s="52">
        <f t="shared" ref="I44:I91" si="4">SUM(G44:H44)</f>
        <v>116000</v>
      </c>
      <c r="J44" s="6" t="s">
        <v>122</v>
      </c>
    </row>
    <row r="45" spans="1:10" ht="15.75" customHeight="1" x14ac:dyDescent="0.25">
      <c r="A45" s="62">
        <v>42036</v>
      </c>
      <c r="B45" s="52">
        <f t="shared" ref="B45:B91" si="5">B44+I44</f>
        <v>116000</v>
      </c>
      <c r="C45" s="52">
        <v>0</v>
      </c>
      <c r="D45" s="52">
        <f t="shared" ref="D45:E45" si="6">D44</f>
        <v>250</v>
      </c>
      <c r="E45" s="52">
        <f t="shared" si="6"/>
        <v>750</v>
      </c>
      <c r="F45" s="52">
        <f t="shared" ref="F45:F91" si="7">G44*$B$28*$B$19+G43*$B$29*$B$20+G42*$B$30*$B$21+G41*$B$31*$B$22+G40*$B$32*$B$23+G39*$B$33*$B$24</f>
        <v>34800</v>
      </c>
      <c r="G45" s="52">
        <f t="shared" si="2"/>
        <v>35800</v>
      </c>
      <c r="H45" s="52">
        <f t="shared" si="3"/>
        <v>-21660.000000000011</v>
      </c>
      <c r="I45" s="52">
        <f t="shared" si="4"/>
        <v>14139.999999999989</v>
      </c>
    </row>
    <row r="46" spans="1:10" ht="15.75" customHeight="1" x14ac:dyDescent="0.25">
      <c r="A46" s="62">
        <v>42064</v>
      </c>
      <c r="B46" s="52">
        <f t="shared" si="5"/>
        <v>130139.99999999999</v>
      </c>
      <c r="C46" s="52">
        <v>0</v>
      </c>
      <c r="D46" s="52">
        <f t="shared" ref="D46:E46" si="8">D45</f>
        <v>250</v>
      </c>
      <c r="E46" s="52">
        <f t="shared" si="8"/>
        <v>750</v>
      </c>
      <c r="F46" s="52">
        <f t="shared" si="7"/>
        <v>23817</v>
      </c>
      <c r="G46" s="52">
        <f t="shared" si="2"/>
        <v>24817</v>
      </c>
      <c r="H46" s="52">
        <f t="shared" si="3"/>
        <v>-12168.400000000005</v>
      </c>
      <c r="I46" s="52">
        <f t="shared" si="4"/>
        <v>12648.599999999995</v>
      </c>
    </row>
    <row r="47" spans="1:10" ht="15.75" customHeight="1" x14ac:dyDescent="0.25">
      <c r="A47" s="62">
        <v>42095</v>
      </c>
      <c r="B47" s="52">
        <f t="shared" si="5"/>
        <v>142788.59999999998</v>
      </c>
      <c r="C47" s="52">
        <v>0</v>
      </c>
      <c r="D47" s="52">
        <f t="shared" ref="D47:E47" si="9">D46</f>
        <v>250</v>
      </c>
      <c r="E47" s="52">
        <f t="shared" si="9"/>
        <v>750</v>
      </c>
      <c r="F47" s="52">
        <f t="shared" si="7"/>
        <v>17055.705000000002</v>
      </c>
      <c r="G47" s="52">
        <f t="shared" si="2"/>
        <v>18055.705000000002</v>
      </c>
      <c r="H47" s="52">
        <f t="shared" si="3"/>
        <v>-10612.841000000006</v>
      </c>
      <c r="I47" s="52">
        <f t="shared" si="4"/>
        <v>7442.8639999999959</v>
      </c>
    </row>
    <row r="48" spans="1:10" ht="15.75" customHeight="1" x14ac:dyDescent="0.25">
      <c r="A48" s="62">
        <v>42125</v>
      </c>
      <c r="B48" s="52">
        <f t="shared" si="5"/>
        <v>150231.46399999998</v>
      </c>
      <c r="C48" s="52">
        <v>0</v>
      </c>
      <c r="D48" s="52">
        <f t="shared" ref="D48:E48" si="10">D47</f>
        <v>250</v>
      </c>
      <c r="E48" s="52">
        <f t="shared" si="10"/>
        <v>750</v>
      </c>
      <c r="F48" s="52">
        <f t="shared" si="7"/>
        <v>12285.904199999999</v>
      </c>
      <c r="G48" s="52">
        <f t="shared" si="2"/>
        <v>13285.904199999999</v>
      </c>
      <c r="H48" s="52">
        <f t="shared" si="3"/>
        <v>-9603.1763399999891</v>
      </c>
      <c r="I48" s="52">
        <f t="shared" si="4"/>
        <v>3682.72786000001</v>
      </c>
    </row>
    <row r="49" spans="1:10" ht="15.75" customHeight="1" x14ac:dyDescent="0.25">
      <c r="A49" s="62">
        <v>42156</v>
      </c>
      <c r="B49" s="52">
        <f t="shared" si="5"/>
        <v>153914.19185999999</v>
      </c>
      <c r="C49" s="52">
        <v>0</v>
      </c>
      <c r="D49" s="52">
        <f t="shared" ref="D49:E49" si="11">D48</f>
        <v>250</v>
      </c>
      <c r="E49" s="52">
        <f t="shared" si="11"/>
        <v>750</v>
      </c>
      <c r="F49" s="52">
        <f t="shared" si="7"/>
        <v>8912.670408</v>
      </c>
      <c r="G49" s="52">
        <f t="shared" si="2"/>
        <v>9912.670408</v>
      </c>
      <c r="H49" s="52">
        <f t="shared" si="3"/>
        <v>-8902.9421266000027</v>
      </c>
      <c r="I49" s="52">
        <f t="shared" si="4"/>
        <v>1009.7282813999973</v>
      </c>
    </row>
    <row r="50" spans="1:10" ht="15.75" customHeight="1" x14ac:dyDescent="0.25">
      <c r="A50" s="62">
        <v>42186</v>
      </c>
      <c r="B50" s="52">
        <f t="shared" si="5"/>
        <v>154923.92014139998</v>
      </c>
      <c r="C50" s="52">
        <v>0</v>
      </c>
      <c r="D50" s="52">
        <f t="shared" ref="D50:E50" si="12">D49</f>
        <v>250</v>
      </c>
      <c r="E50" s="52">
        <f t="shared" si="12"/>
        <v>750</v>
      </c>
      <c r="F50" s="52">
        <f t="shared" si="7"/>
        <v>6528.2015295450001</v>
      </c>
      <c r="G50" s="52">
        <f t="shared" si="2"/>
        <v>7528.2015295450001</v>
      </c>
      <c r="H50" s="52">
        <f t="shared" si="3"/>
        <v>-4795.872576709</v>
      </c>
      <c r="I50" s="52">
        <f t="shared" si="4"/>
        <v>2732.3289528360001</v>
      </c>
    </row>
    <row r="51" spans="1:10" ht="15.75" customHeight="1" x14ac:dyDescent="0.25">
      <c r="A51" s="62">
        <v>42217</v>
      </c>
      <c r="B51" s="52">
        <f t="shared" si="5"/>
        <v>157656.24909423597</v>
      </c>
      <c r="C51" s="52">
        <v>0</v>
      </c>
      <c r="D51" s="52">
        <f t="shared" ref="D51:E51" si="13">D50</f>
        <v>250</v>
      </c>
      <c r="E51" s="52">
        <f t="shared" si="13"/>
        <v>750</v>
      </c>
      <c r="F51" s="52">
        <f t="shared" si="7"/>
        <v>4452.5046881808003</v>
      </c>
      <c r="G51" s="52">
        <f t="shared" si="2"/>
        <v>5452.5046881808003</v>
      </c>
      <c r="H51" s="52">
        <f t="shared" si="3"/>
        <v>-3495.10308079066</v>
      </c>
      <c r="I51" s="52">
        <f t="shared" si="4"/>
        <v>1957.4016073901403</v>
      </c>
    </row>
    <row r="52" spans="1:10" ht="15.75" customHeight="1" x14ac:dyDescent="0.25">
      <c r="A52" s="62">
        <v>42248</v>
      </c>
      <c r="B52" s="52">
        <f t="shared" si="5"/>
        <v>159613.65070162612</v>
      </c>
      <c r="C52" s="52">
        <v>0</v>
      </c>
      <c r="D52" s="52">
        <f t="shared" ref="D52:E52" si="14">D51</f>
        <v>250</v>
      </c>
      <c r="E52" s="52">
        <f t="shared" si="14"/>
        <v>750</v>
      </c>
      <c r="F52" s="52">
        <f t="shared" si="7"/>
        <v>3275.9210580143667</v>
      </c>
      <c r="G52" s="52">
        <f t="shared" si="2"/>
        <v>4275.9210580143663</v>
      </c>
      <c r="H52" s="52">
        <f t="shared" si="3"/>
        <v>-2619.9967088595781</v>
      </c>
      <c r="I52" s="52">
        <f t="shared" si="4"/>
        <v>1655.9243491547882</v>
      </c>
    </row>
    <row r="53" spans="1:10" ht="15.75" customHeight="1" x14ac:dyDescent="0.25">
      <c r="A53" s="62">
        <v>42278</v>
      </c>
      <c r="B53" s="52">
        <f t="shared" si="5"/>
        <v>161269.5750507809</v>
      </c>
      <c r="C53" s="52">
        <v>0</v>
      </c>
      <c r="D53" s="52">
        <f t="shared" ref="D53:E53" si="15">D52</f>
        <v>250</v>
      </c>
      <c r="E53" s="52">
        <f t="shared" si="15"/>
        <v>750</v>
      </c>
      <c r="F53" s="52">
        <f t="shared" si="7"/>
        <v>2478.728120279397</v>
      </c>
      <c r="G53" s="52">
        <f t="shared" si="2"/>
        <v>3478.728120279397</v>
      </c>
      <c r="H53" s="52">
        <f t="shared" si="3"/>
        <v>-2027.8197505004612</v>
      </c>
      <c r="I53" s="52">
        <f t="shared" si="4"/>
        <v>1450.9083697789358</v>
      </c>
    </row>
    <row r="54" spans="1:10" ht="15.75" customHeight="1" x14ac:dyDescent="0.25">
      <c r="A54" s="62">
        <v>42309</v>
      </c>
      <c r="B54" s="52">
        <f t="shared" si="5"/>
        <v>162720.48342055985</v>
      </c>
      <c r="C54" s="52">
        <v>0</v>
      </c>
      <c r="D54" s="52">
        <f t="shared" ref="D54:E54" si="16">D53</f>
        <v>250</v>
      </c>
      <c r="E54" s="52">
        <f t="shared" si="16"/>
        <v>750</v>
      </c>
      <c r="F54" s="52">
        <f t="shared" si="7"/>
        <v>1934.296739549126</v>
      </c>
      <c r="G54" s="52">
        <f t="shared" si="2"/>
        <v>2934.296739549126</v>
      </c>
      <c r="H54" s="52">
        <f t="shared" si="3"/>
        <v>-1613.9646020312694</v>
      </c>
      <c r="I54" s="52">
        <f t="shared" si="4"/>
        <v>1320.3321375178566</v>
      </c>
    </row>
    <row r="55" spans="1:10" ht="15.75" customHeight="1" x14ac:dyDescent="0.25">
      <c r="A55" s="62">
        <v>42339</v>
      </c>
      <c r="B55" s="52">
        <f t="shared" si="5"/>
        <v>164040.81555807771</v>
      </c>
      <c r="C55" s="52">
        <v>0</v>
      </c>
      <c r="D55" s="52">
        <f t="shared" ref="D55:E55" si="17">D54</f>
        <v>250</v>
      </c>
      <c r="E55" s="52">
        <f t="shared" si="17"/>
        <v>750</v>
      </c>
      <c r="F55" s="52">
        <f t="shared" si="7"/>
        <v>1562.8508581768665</v>
      </c>
      <c r="G55" s="52">
        <f t="shared" si="2"/>
        <v>2562.8508581768665</v>
      </c>
      <c r="H55" s="52">
        <f t="shared" si="3"/>
        <v>-1324.383730490775</v>
      </c>
      <c r="I55" s="52">
        <f t="shared" si="4"/>
        <v>1238.4671276860915</v>
      </c>
    </row>
    <row r="56" spans="1:10" ht="15.75" customHeight="1" x14ac:dyDescent="0.25">
      <c r="A56" s="62">
        <v>42370</v>
      </c>
      <c r="B56" s="52">
        <f t="shared" si="5"/>
        <v>165279.28268576381</v>
      </c>
      <c r="C56" s="52">
        <v>70000</v>
      </c>
      <c r="D56" s="52">
        <f t="shared" ref="D56:E56" si="18">D55</f>
        <v>250</v>
      </c>
      <c r="E56" s="52">
        <f t="shared" si="18"/>
        <v>750</v>
      </c>
      <c r="F56" s="52">
        <f t="shared" si="7"/>
        <v>1309.7642234116602</v>
      </c>
      <c r="G56" s="52">
        <f t="shared" si="2"/>
        <v>72309.764223411665</v>
      </c>
      <c r="H56" s="52">
        <f t="shared" si="3"/>
        <v>-15121.774195650607</v>
      </c>
      <c r="I56" s="52">
        <f t="shared" si="4"/>
        <v>57187.990027761058</v>
      </c>
      <c r="J56" s="6" t="s">
        <v>140</v>
      </c>
    </row>
    <row r="57" spans="1:10" ht="15.75" customHeight="1" x14ac:dyDescent="0.25">
      <c r="A57" s="62">
        <v>42401</v>
      </c>
      <c r="B57" s="52">
        <f t="shared" si="5"/>
        <v>222467.27271352487</v>
      </c>
      <c r="C57" s="52">
        <v>0</v>
      </c>
      <c r="D57" s="52">
        <f t="shared" ref="D57:E57" si="19">D56</f>
        <v>250</v>
      </c>
      <c r="E57" s="52">
        <f t="shared" si="19"/>
        <v>750</v>
      </c>
      <c r="F57" s="52">
        <f t="shared" si="7"/>
        <v>17937.564312868479</v>
      </c>
      <c r="G57" s="52">
        <f t="shared" si="2"/>
        <v>18937.564312868479</v>
      </c>
      <c r="H57" s="52">
        <f t="shared" si="3"/>
        <v>-11349.784204315361</v>
      </c>
      <c r="I57" s="52">
        <f t="shared" si="4"/>
        <v>7587.7801085531173</v>
      </c>
    </row>
    <row r="58" spans="1:10" ht="15.75" customHeight="1" x14ac:dyDescent="0.25">
      <c r="A58" s="62">
        <v>42430</v>
      </c>
      <c r="B58" s="52">
        <f t="shared" si="5"/>
        <v>230055.052822078</v>
      </c>
      <c r="C58" s="52">
        <v>0</v>
      </c>
      <c r="D58" s="52">
        <f t="shared" ref="D58:E58" si="20">D57</f>
        <v>250</v>
      </c>
      <c r="E58" s="52">
        <f t="shared" si="20"/>
        <v>750</v>
      </c>
      <c r="F58" s="52">
        <f t="shared" si="7"/>
        <v>12403.626887379229</v>
      </c>
      <c r="G58" s="52">
        <f t="shared" si="2"/>
        <v>13403.626887379229</v>
      </c>
      <c r="H58" s="52">
        <f t="shared" si="3"/>
        <v>-6606.6228072981221</v>
      </c>
      <c r="I58" s="52">
        <f t="shared" si="4"/>
        <v>6797.0040800811066</v>
      </c>
    </row>
    <row r="59" spans="1:10" ht="15.75" customHeight="1" x14ac:dyDescent="0.25">
      <c r="A59" s="62">
        <v>42461</v>
      </c>
      <c r="B59" s="52">
        <f t="shared" si="5"/>
        <v>236852.05690215909</v>
      </c>
      <c r="C59" s="52">
        <v>0</v>
      </c>
      <c r="D59" s="52">
        <f t="shared" ref="D59:E59" si="21">D58</f>
        <v>250</v>
      </c>
      <c r="E59" s="52">
        <f t="shared" si="21"/>
        <v>750</v>
      </c>
      <c r="F59" s="52">
        <f t="shared" si="7"/>
        <v>8982.4201448936437</v>
      </c>
      <c r="G59" s="52">
        <f t="shared" si="2"/>
        <v>9982.4201448936437</v>
      </c>
      <c r="H59" s="52">
        <f t="shared" si="3"/>
        <v>-5755.4586210668076</v>
      </c>
      <c r="I59" s="52">
        <f t="shared" si="4"/>
        <v>4226.9615238268361</v>
      </c>
    </row>
    <row r="60" spans="1:10" ht="15.75" customHeight="1" x14ac:dyDescent="0.25">
      <c r="A60" s="62">
        <v>42491</v>
      </c>
      <c r="B60" s="52">
        <f t="shared" si="5"/>
        <v>241079.01842598594</v>
      </c>
      <c r="C60" s="52">
        <v>0</v>
      </c>
      <c r="D60" s="52">
        <f t="shared" ref="D60:E60" si="22">D59</f>
        <v>250</v>
      </c>
      <c r="E60" s="52">
        <f t="shared" si="22"/>
        <v>750</v>
      </c>
      <c r="F60" s="52">
        <f t="shared" si="7"/>
        <v>6570.965181888143</v>
      </c>
      <c r="G60" s="52">
        <f t="shared" si="2"/>
        <v>7570.965181888143</v>
      </c>
      <c r="H60" s="52">
        <f t="shared" si="3"/>
        <v>-5192.7802079128933</v>
      </c>
      <c r="I60" s="52">
        <f t="shared" si="4"/>
        <v>2378.1849739752497</v>
      </c>
    </row>
    <row r="61" spans="1:10" ht="15.75" customHeight="1" x14ac:dyDescent="0.25">
      <c r="A61" s="62">
        <v>42522</v>
      </c>
      <c r="B61" s="52">
        <f t="shared" si="5"/>
        <v>243457.20339996117</v>
      </c>
      <c r="C61" s="52">
        <v>0</v>
      </c>
      <c r="D61" s="52">
        <f t="shared" ref="D61:E61" si="23">D60</f>
        <v>250</v>
      </c>
      <c r="E61" s="52">
        <f t="shared" si="23"/>
        <v>750</v>
      </c>
      <c r="F61" s="52">
        <f t="shared" si="7"/>
        <v>4867.1435857370798</v>
      </c>
      <c r="G61" s="52">
        <f t="shared" si="2"/>
        <v>5867.1435857370798</v>
      </c>
      <c r="H61" s="52">
        <f t="shared" si="3"/>
        <v>-4796.3596245500567</v>
      </c>
      <c r="I61" s="52">
        <f t="shared" si="4"/>
        <v>1070.7839611870231</v>
      </c>
    </row>
    <row r="62" spans="1:10" ht="15.75" customHeight="1" x14ac:dyDescent="0.25">
      <c r="A62" s="62">
        <v>42552</v>
      </c>
      <c r="B62" s="52">
        <f t="shared" si="5"/>
        <v>244527.9873611482</v>
      </c>
      <c r="C62" s="52">
        <v>0</v>
      </c>
      <c r="D62" s="52">
        <f t="shared" ref="D62:E62" si="24">D61</f>
        <v>250</v>
      </c>
      <c r="E62" s="52">
        <f t="shared" si="24"/>
        <v>750</v>
      </c>
      <c r="F62" s="52">
        <f t="shared" si="7"/>
        <v>3663.8062354383815</v>
      </c>
      <c r="G62" s="52">
        <f t="shared" si="2"/>
        <v>4663.8062354383819</v>
      </c>
      <c r="H62" s="52">
        <f t="shared" si="3"/>
        <v>-2766.8400188371215</v>
      </c>
      <c r="I62" s="52">
        <f t="shared" si="4"/>
        <v>1896.9662166012604</v>
      </c>
    </row>
    <row r="63" spans="1:10" ht="15.75" customHeight="1" x14ac:dyDescent="0.25">
      <c r="A63" s="62">
        <v>42583</v>
      </c>
      <c r="B63" s="52">
        <f t="shared" si="5"/>
        <v>246424.95357774946</v>
      </c>
      <c r="C63" s="52">
        <v>0</v>
      </c>
      <c r="D63" s="52">
        <f t="shared" ref="D63:E63" si="25">D62</f>
        <v>250</v>
      </c>
      <c r="E63" s="52">
        <f t="shared" si="25"/>
        <v>750</v>
      </c>
      <c r="F63" s="52">
        <f t="shared" si="7"/>
        <v>2625.5627282188352</v>
      </c>
      <c r="G63" s="52">
        <f t="shared" si="2"/>
        <v>3625.5627282188352</v>
      </c>
      <c r="H63" s="52">
        <f t="shared" si="3"/>
        <v>-2112.0970641850572</v>
      </c>
      <c r="I63" s="52">
        <f t="shared" si="4"/>
        <v>1513.465664033778</v>
      </c>
    </row>
    <row r="64" spans="1:10" ht="15.75" customHeight="1" x14ac:dyDescent="0.25">
      <c r="A64" s="62">
        <v>42614</v>
      </c>
      <c r="B64" s="52">
        <f t="shared" si="5"/>
        <v>247938.41924178324</v>
      </c>
      <c r="C64" s="52">
        <v>0</v>
      </c>
      <c r="D64" s="52">
        <f t="shared" ref="D64:E64" si="26">D63</f>
        <v>250</v>
      </c>
      <c r="E64" s="52">
        <f t="shared" si="26"/>
        <v>750</v>
      </c>
      <c r="F64" s="52">
        <f t="shared" si="7"/>
        <v>2033.7780171444942</v>
      </c>
      <c r="G64" s="52">
        <f t="shared" si="2"/>
        <v>3033.7780171444942</v>
      </c>
      <c r="H64" s="52">
        <f t="shared" si="3"/>
        <v>-1671.4202549497134</v>
      </c>
      <c r="I64" s="52">
        <f t="shared" si="4"/>
        <v>1362.3577621947809</v>
      </c>
    </row>
    <row r="65" spans="1:10" ht="15.75" customHeight="1" x14ac:dyDescent="0.25">
      <c r="A65" s="62">
        <v>42644</v>
      </c>
      <c r="B65" s="52">
        <f t="shared" si="5"/>
        <v>249300.77700397803</v>
      </c>
      <c r="C65" s="52">
        <v>0</v>
      </c>
      <c r="D65" s="52">
        <f t="shared" ref="D65:E65" si="27">D64</f>
        <v>250</v>
      </c>
      <c r="E65" s="52">
        <f t="shared" si="27"/>
        <v>750</v>
      </c>
      <c r="F65" s="52">
        <f t="shared" si="7"/>
        <v>1632.7809876893439</v>
      </c>
      <c r="G65" s="52">
        <f t="shared" si="2"/>
        <v>2632.7809876893439</v>
      </c>
      <c r="H65" s="52">
        <f t="shared" si="3"/>
        <v>-1373.1209425343791</v>
      </c>
      <c r="I65" s="52">
        <f t="shared" si="4"/>
        <v>1259.6600451549648</v>
      </c>
    </row>
    <row r="66" spans="1:10" ht="15.75" customHeight="1" x14ac:dyDescent="0.25">
      <c r="A66" s="62">
        <v>42675</v>
      </c>
      <c r="B66" s="52">
        <f t="shared" si="5"/>
        <v>250560.437049133</v>
      </c>
      <c r="C66" s="52">
        <v>0</v>
      </c>
      <c r="D66" s="52">
        <f t="shared" ref="D66:E66" si="28">D65</f>
        <v>250</v>
      </c>
      <c r="E66" s="52">
        <f t="shared" si="28"/>
        <v>750</v>
      </c>
      <c r="F66" s="52">
        <f t="shared" si="7"/>
        <v>1358.9807869939807</v>
      </c>
      <c r="G66" s="52">
        <f t="shared" si="2"/>
        <v>2358.9807869939805</v>
      </c>
      <c r="H66" s="52">
        <f t="shared" si="3"/>
        <v>-1164.8315203312002</v>
      </c>
      <c r="I66" s="52">
        <f t="shared" si="4"/>
        <v>1194.1492666627803</v>
      </c>
    </row>
    <row r="67" spans="1:10" ht="15.75" customHeight="1" x14ac:dyDescent="0.25">
      <c r="A67" s="62">
        <v>42705</v>
      </c>
      <c r="B67" s="52">
        <f t="shared" si="5"/>
        <v>251754.58631579578</v>
      </c>
      <c r="C67" s="52">
        <v>0</v>
      </c>
      <c r="D67" s="52">
        <f t="shared" ref="D67:E67" si="29">D66</f>
        <v>250</v>
      </c>
      <c r="E67" s="52">
        <f t="shared" si="29"/>
        <v>750</v>
      </c>
      <c r="F67" s="52">
        <f t="shared" si="7"/>
        <v>1172.212158195525</v>
      </c>
      <c r="G67" s="52">
        <f t="shared" si="2"/>
        <v>2172.2121581955253</v>
      </c>
      <c r="H67" s="52">
        <f t="shared" si="3"/>
        <v>-1019.2387095507796</v>
      </c>
      <c r="I67" s="52">
        <f t="shared" si="4"/>
        <v>1152.9734486447455</v>
      </c>
    </row>
    <row r="68" spans="1:10" ht="15.75" customHeight="1" x14ac:dyDescent="0.25">
      <c r="A68" s="62">
        <v>42736</v>
      </c>
      <c r="B68" s="52">
        <f t="shared" si="5"/>
        <v>252907.55976444052</v>
      </c>
      <c r="C68" s="52">
        <v>80000</v>
      </c>
      <c r="D68" s="52">
        <f t="shared" ref="D68:E68" si="30">D67</f>
        <v>250</v>
      </c>
      <c r="E68" s="52">
        <f t="shared" si="30"/>
        <v>750</v>
      </c>
      <c r="F68" s="52">
        <f t="shared" si="7"/>
        <v>1044.9777505666193</v>
      </c>
      <c r="G68" s="52">
        <f t="shared" si="2"/>
        <v>82044.977750566613</v>
      </c>
      <c r="H68" s="52">
        <f t="shared" si="3"/>
        <v>-16917.494328934037</v>
      </c>
      <c r="I68" s="52">
        <f t="shared" si="4"/>
        <v>65127.483421632576</v>
      </c>
      <c r="J68" s="6" t="s">
        <v>153</v>
      </c>
    </row>
    <row r="69" spans="1:10" ht="15.75" customHeight="1" x14ac:dyDescent="0.25">
      <c r="A69" s="62">
        <v>42767</v>
      </c>
      <c r="B69" s="52">
        <f t="shared" si="5"/>
        <v>318035.04318607308</v>
      </c>
      <c r="C69" s="52">
        <v>0</v>
      </c>
      <c r="D69" s="52">
        <f t="shared" ref="D69:E69" si="31">D68</f>
        <v>250</v>
      </c>
      <c r="E69" s="52">
        <f t="shared" si="31"/>
        <v>750</v>
      </c>
      <c r="F69" s="52">
        <f t="shared" si="7"/>
        <v>20158.420252147658</v>
      </c>
      <c r="G69" s="52">
        <f t="shared" si="2"/>
        <v>21158.420252147658</v>
      </c>
      <c r="H69" s="52">
        <f t="shared" si="3"/>
        <v>-12691.125624236784</v>
      </c>
      <c r="I69" s="52">
        <f t="shared" si="4"/>
        <v>8467.2946279108746</v>
      </c>
    </row>
    <row r="70" spans="1:10" ht="15.75" customHeight="1" x14ac:dyDescent="0.25">
      <c r="A70" s="62">
        <v>42795</v>
      </c>
      <c r="B70" s="52">
        <f t="shared" si="5"/>
        <v>326502.33781398396</v>
      </c>
      <c r="C70" s="52">
        <v>0</v>
      </c>
      <c r="D70" s="52">
        <f t="shared" ref="D70:E70" si="32">D69</f>
        <v>250</v>
      </c>
      <c r="E70" s="52">
        <f t="shared" si="32"/>
        <v>750</v>
      </c>
      <c r="F70" s="52">
        <f t="shared" si="7"/>
        <v>13908.129825062479</v>
      </c>
      <c r="G70" s="52">
        <f t="shared" si="2"/>
        <v>14908.129825062479</v>
      </c>
      <c r="H70" s="52">
        <f t="shared" si="3"/>
        <v>-7327.6917823134008</v>
      </c>
      <c r="I70" s="52">
        <f t="shared" si="4"/>
        <v>7580.4380427490778</v>
      </c>
    </row>
    <row r="71" spans="1:10" ht="15.75" customHeight="1" x14ac:dyDescent="0.25">
      <c r="A71" s="62">
        <v>42826</v>
      </c>
      <c r="B71" s="52">
        <f t="shared" si="5"/>
        <v>334082.77585673303</v>
      </c>
      <c r="C71" s="52">
        <v>0</v>
      </c>
      <c r="D71" s="52">
        <f t="shared" ref="D71:E71" si="33">D70</f>
        <v>250</v>
      </c>
      <c r="E71" s="52">
        <f t="shared" si="33"/>
        <v>750</v>
      </c>
      <c r="F71" s="52">
        <f t="shared" si="7"/>
        <v>10048.513653622287</v>
      </c>
      <c r="G71" s="52">
        <f t="shared" si="2"/>
        <v>11048.513653622287</v>
      </c>
      <c r="H71" s="52">
        <f t="shared" si="3"/>
        <v>-6393.8804869283031</v>
      </c>
      <c r="I71" s="52">
        <f t="shared" si="4"/>
        <v>4654.6331666939841</v>
      </c>
    </row>
    <row r="72" spans="1:10" ht="15.75" customHeight="1" x14ac:dyDescent="0.25">
      <c r="A72" s="62">
        <v>42856</v>
      </c>
      <c r="B72" s="52">
        <f t="shared" si="5"/>
        <v>338737.409023427</v>
      </c>
      <c r="C72" s="52">
        <v>0</v>
      </c>
      <c r="D72" s="52">
        <f t="shared" ref="D72:E72" si="34">D71</f>
        <v>250</v>
      </c>
      <c r="E72" s="52">
        <f t="shared" si="34"/>
        <v>750</v>
      </c>
      <c r="F72" s="52">
        <f t="shared" si="7"/>
        <v>7326.7131445916393</v>
      </c>
      <c r="G72" s="52">
        <f t="shared" si="2"/>
        <v>8326.7131445916384</v>
      </c>
      <c r="H72" s="52">
        <f t="shared" si="3"/>
        <v>-5777.2874939298581</v>
      </c>
      <c r="I72" s="52">
        <f t="shared" si="4"/>
        <v>2549.4256506617803</v>
      </c>
    </row>
    <row r="73" spans="1:10" ht="15.75" customHeight="1" x14ac:dyDescent="0.25">
      <c r="A73" s="62">
        <v>42887</v>
      </c>
      <c r="B73" s="52">
        <f t="shared" si="5"/>
        <v>341286.83467408875</v>
      </c>
      <c r="C73" s="52">
        <v>0</v>
      </c>
      <c r="D73" s="52">
        <f t="shared" ref="D73:E73" si="35">D72</f>
        <v>250</v>
      </c>
      <c r="E73" s="52">
        <f t="shared" si="35"/>
        <v>750</v>
      </c>
      <c r="F73" s="52">
        <f t="shared" si="7"/>
        <v>5402.6489307765232</v>
      </c>
      <c r="G73" s="52">
        <f t="shared" si="2"/>
        <v>6402.6489307765232</v>
      </c>
      <c r="H73" s="52">
        <f t="shared" si="3"/>
        <v>-5342.2021376494458</v>
      </c>
      <c r="I73" s="52">
        <f t="shared" si="4"/>
        <v>1060.4467931270774</v>
      </c>
    </row>
    <row r="74" spans="1:10" ht="15.75" customHeight="1" x14ac:dyDescent="0.25">
      <c r="A74" s="62">
        <v>42917</v>
      </c>
      <c r="B74" s="52">
        <f t="shared" si="5"/>
        <v>342347.28146721586</v>
      </c>
      <c r="C74" s="52">
        <v>0</v>
      </c>
      <c r="D74" s="52">
        <f t="shared" ref="D74:E74" si="36">D73</f>
        <v>250</v>
      </c>
      <c r="E74" s="52">
        <f t="shared" si="36"/>
        <v>750</v>
      </c>
      <c r="F74" s="52">
        <f t="shared" si="7"/>
        <v>4043.1105289458064</v>
      </c>
      <c r="G74" s="52">
        <f t="shared" si="2"/>
        <v>5043.1105289458064</v>
      </c>
      <c r="H74" s="52">
        <f t="shared" si="3"/>
        <v>-3034.9314207524153</v>
      </c>
      <c r="I74" s="52">
        <f t="shared" si="4"/>
        <v>2008.1791081933911</v>
      </c>
    </row>
    <row r="75" spans="1:10" ht="15.75" customHeight="1" x14ac:dyDescent="0.25">
      <c r="A75" s="62">
        <v>42948</v>
      </c>
      <c r="B75" s="52">
        <f t="shared" si="5"/>
        <v>344355.46057540923</v>
      </c>
      <c r="C75" s="52">
        <v>0</v>
      </c>
      <c r="D75" s="52">
        <f t="shared" ref="D75:E75" si="37">D74</f>
        <v>250</v>
      </c>
      <c r="E75" s="52">
        <f t="shared" si="37"/>
        <v>750</v>
      </c>
      <c r="F75" s="52">
        <f t="shared" si="7"/>
        <v>2867.192798236304</v>
      </c>
      <c r="G75" s="52">
        <f t="shared" si="2"/>
        <v>3867.192798236304</v>
      </c>
      <c r="H75" s="52">
        <f t="shared" si="3"/>
        <v>-2294.8997513931649</v>
      </c>
      <c r="I75" s="52">
        <f t="shared" si="4"/>
        <v>1572.2930468431391</v>
      </c>
    </row>
    <row r="76" spans="1:10" ht="15.75" customHeight="1" x14ac:dyDescent="0.25">
      <c r="A76" s="62">
        <v>42979</v>
      </c>
      <c r="B76" s="52">
        <f t="shared" si="5"/>
        <v>345927.75362225238</v>
      </c>
      <c r="C76" s="52">
        <v>0</v>
      </c>
      <c r="D76" s="52">
        <f t="shared" ref="D76:E76" si="38">D75</f>
        <v>250</v>
      </c>
      <c r="E76" s="52">
        <f t="shared" si="38"/>
        <v>750</v>
      </c>
      <c r="F76" s="52">
        <f t="shared" si="7"/>
        <v>2198.0836117803678</v>
      </c>
      <c r="G76" s="52">
        <f t="shared" si="2"/>
        <v>3198.0836117803678</v>
      </c>
      <c r="H76" s="52">
        <f t="shared" si="3"/>
        <v>-1796.8606586281101</v>
      </c>
      <c r="I76" s="52">
        <f t="shared" si="4"/>
        <v>1401.2229531522578</v>
      </c>
    </row>
    <row r="77" spans="1:10" ht="15.75" customHeight="1" x14ac:dyDescent="0.25">
      <c r="A77" s="62">
        <v>43009</v>
      </c>
      <c r="B77" s="52">
        <f t="shared" si="5"/>
        <v>347328.97657540464</v>
      </c>
      <c r="C77" s="52">
        <v>0</v>
      </c>
      <c r="D77" s="52">
        <f t="shared" ref="D77:E77" si="39">D76</f>
        <v>250</v>
      </c>
      <c r="E77" s="52">
        <f t="shared" si="39"/>
        <v>750</v>
      </c>
      <c r="F77" s="52">
        <f t="shared" si="7"/>
        <v>1744.693907822468</v>
      </c>
      <c r="G77" s="52">
        <f t="shared" si="2"/>
        <v>2744.6939078224677</v>
      </c>
      <c r="H77" s="52">
        <f t="shared" si="3"/>
        <v>-1459.7387778062873</v>
      </c>
      <c r="I77" s="52">
        <f t="shared" si="4"/>
        <v>1284.9551300161804</v>
      </c>
    </row>
    <row r="78" spans="1:10" ht="15.75" customHeight="1" x14ac:dyDescent="0.25">
      <c r="A78" s="62">
        <v>43040</v>
      </c>
      <c r="B78" s="52">
        <f t="shared" si="5"/>
        <v>348613.93170542084</v>
      </c>
      <c r="C78" s="52">
        <v>0</v>
      </c>
      <c r="D78" s="52">
        <f t="shared" ref="D78:E78" si="40">D77</f>
        <v>250</v>
      </c>
      <c r="E78" s="52">
        <f t="shared" si="40"/>
        <v>750</v>
      </c>
      <c r="F78" s="52">
        <f t="shared" si="7"/>
        <v>1435.0965752639631</v>
      </c>
      <c r="G78" s="52">
        <f t="shared" si="2"/>
        <v>2435.0965752639631</v>
      </c>
      <c r="H78" s="52">
        <f t="shared" si="3"/>
        <v>-1224.2646025785145</v>
      </c>
      <c r="I78" s="52">
        <f t="shared" si="4"/>
        <v>1210.8319726854486</v>
      </c>
    </row>
    <row r="79" spans="1:10" ht="15.75" customHeight="1" x14ac:dyDescent="0.25">
      <c r="A79" s="62">
        <v>43070</v>
      </c>
      <c r="B79" s="52">
        <f t="shared" si="5"/>
        <v>349824.7636781063</v>
      </c>
      <c r="C79" s="52">
        <v>0</v>
      </c>
      <c r="D79" s="52">
        <f t="shared" ref="D79:E79" si="41">D78</f>
        <v>250</v>
      </c>
      <c r="E79" s="52">
        <f t="shared" si="41"/>
        <v>750</v>
      </c>
      <c r="F79" s="52">
        <f t="shared" si="7"/>
        <v>1223.8956974348027</v>
      </c>
      <c r="G79" s="52">
        <f t="shared" si="2"/>
        <v>2223.895697434803</v>
      </c>
      <c r="H79" s="52">
        <f t="shared" si="3"/>
        <v>-1059.6158181829805</v>
      </c>
      <c r="I79" s="52">
        <f t="shared" si="4"/>
        <v>1164.2798792518224</v>
      </c>
    </row>
    <row r="80" spans="1:10" ht="15.75" customHeight="1" x14ac:dyDescent="0.25">
      <c r="A80" s="62">
        <v>43101</v>
      </c>
      <c r="B80" s="52">
        <f t="shared" si="5"/>
        <v>350989.04355735815</v>
      </c>
      <c r="C80" s="52">
        <v>90000</v>
      </c>
      <c r="D80" s="52">
        <f t="shared" ref="D80:E80" si="42">D79</f>
        <v>250</v>
      </c>
      <c r="E80" s="52">
        <f t="shared" si="42"/>
        <v>750</v>
      </c>
      <c r="F80" s="52">
        <f t="shared" si="7"/>
        <v>1080.0096872373795</v>
      </c>
      <c r="G80" s="52">
        <f t="shared" si="2"/>
        <v>92080.009687237383</v>
      </c>
      <c r="H80" s="52">
        <f t="shared" si="3"/>
        <v>-18944.518179518534</v>
      </c>
      <c r="I80" s="52">
        <f t="shared" si="4"/>
        <v>73135.491507718849</v>
      </c>
      <c r="J80" s="6" t="s">
        <v>182</v>
      </c>
    </row>
    <row r="81" spans="1:9" ht="15.75" customHeight="1" x14ac:dyDescent="0.25">
      <c r="A81" s="62">
        <v>43132</v>
      </c>
      <c r="B81" s="52">
        <f t="shared" si="5"/>
        <v>424124.53506507701</v>
      </c>
      <c r="C81" s="52">
        <v>0</v>
      </c>
      <c r="D81" s="52">
        <f t="shared" ref="D81:E81" si="43">D80</f>
        <v>250</v>
      </c>
      <c r="E81" s="52">
        <f t="shared" si="43"/>
        <v>750</v>
      </c>
      <c r="F81" s="52">
        <f t="shared" si="7"/>
        <v>22582.120553109169</v>
      </c>
      <c r="G81" s="52">
        <f t="shared" si="2"/>
        <v>23582.120553109169</v>
      </c>
      <c r="H81" s="52">
        <f t="shared" si="3"/>
        <v>-14189.469324153119</v>
      </c>
      <c r="I81" s="52">
        <f t="shared" si="4"/>
        <v>9392.6512289560505</v>
      </c>
    </row>
    <row r="82" spans="1:9" ht="15.75" customHeight="1" x14ac:dyDescent="0.25">
      <c r="A82" s="62">
        <v>43160</v>
      </c>
      <c r="B82" s="52">
        <f t="shared" si="5"/>
        <v>433517.18629403308</v>
      </c>
      <c r="C82" s="52">
        <v>0</v>
      </c>
      <c r="D82" s="52">
        <f t="shared" ref="D82:E82" si="44">D81</f>
        <v>250</v>
      </c>
      <c r="E82" s="52">
        <f t="shared" si="44"/>
        <v>750</v>
      </c>
      <c r="F82" s="52">
        <f t="shared" si="7"/>
        <v>15550.203750659379</v>
      </c>
      <c r="G82" s="52">
        <f t="shared" si="2"/>
        <v>16550.203750659377</v>
      </c>
      <c r="H82" s="52">
        <f t="shared" si="3"/>
        <v>-8155.3452021367611</v>
      </c>
      <c r="I82" s="52">
        <f t="shared" si="4"/>
        <v>8394.8585485226158</v>
      </c>
    </row>
    <row r="83" spans="1:9" ht="15.75" customHeight="1" x14ac:dyDescent="0.25">
      <c r="A83" s="62">
        <v>43191</v>
      </c>
      <c r="B83" s="52">
        <f t="shared" si="5"/>
        <v>441912.04484255571</v>
      </c>
      <c r="C83" s="52">
        <v>0</v>
      </c>
      <c r="D83" s="52">
        <f t="shared" ref="D83:E83" si="45">D82</f>
        <v>250</v>
      </c>
      <c r="E83" s="52">
        <f t="shared" si="45"/>
        <v>750</v>
      </c>
      <c r="F83" s="52">
        <f t="shared" si="7"/>
        <v>11207.904697498952</v>
      </c>
      <c r="G83" s="52">
        <f t="shared" si="2"/>
        <v>12207.904697498952</v>
      </c>
      <c r="H83" s="52">
        <f t="shared" si="3"/>
        <v>-7104.6293773918642</v>
      </c>
      <c r="I83" s="52">
        <f t="shared" si="4"/>
        <v>5103.2753201070882</v>
      </c>
    </row>
    <row r="84" spans="1:9" ht="15.75" customHeight="1" x14ac:dyDescent="0.25">
      <c r="A84" s="62">
        <v>43221</v>
      </c>
      <c r="B84" s="52">
        <f t="shared" si="5"/>
        <v>447015.32016266277</v>
      </c>
      <c r="C84" s="52">
        <v>0</v>
      </c>
      <c r="D84" s="52">
        <f t="shared" ref="D84:E84" si="46">D83</f>
        <v>250</v>
      </c>
      <c r="E84" s="52">
        <f t="shared" si="46"/>
        <v>750</v>
      </c>
      <c r="F84" s="52">
        <f t="shared" si="7"/>
        <v>8145.7223062867197</v>
      </c>
      <c r="G84" s="52">
        <f t="shared" si="2"/>
        <v>9145.7223062867197</v>
      </c>
      <c r="H84" s="52">
        <f t="shared" si="3"/>
        <v>-6410.8406732182511</v>
      </c>
      <c r="I84" s="52">
        <f t="shared" si="4"/>
        <v>2734.8816330684685</v>
      </c>
    </row>
    <row r="85" spans="1:9" ht="15.75" customHeight="1" x14ac:dyDescent="0.25">
      <c r="A85" s="62">
        <v>43252</v>
      </c>
      <c r="B85" s="52">
        <f t="shared" si="5"/>
        <v>449750.20179573126</v>
      </c>
      <c r="C85" s="52">
        <v>0</v>
      </c>
      <c r="D85" s="52">
        <f t="shared" ref="D85:E85" si="47">D84</f>
        <v>250</v>
      </c>
      <c r="E85" s="52">
        <f t="shared" si="47"/>
        <v>750</v>
      </c>
      <c r="F85" s="52">
        <f t="shared" si="7"/>
        <v>5981.0436269257534</v>
      </c>
      <c r="G85" s="52">
        <f t="shared" si="2"/>
        <v>6981.0436269257534</v>
      </c>
      <c r="H85" s="52">
        <f t="shared" si="3"/>
        <v>-5921.2869232264457</v>
      </c>
      <c r="I85" s="52">
        <f t="shared" si="4"/>
        <v>1059.7567036993078</v>
      </c>
    </row>
    <row r="86" spans="1:9" ht="15.75" customHeight="1" x14ac:dyDescent="0.25">
      <c r="A86" s="62">
        <v>43282</v>
      </c>
      <c r="B86" s="52">
        <f t="shared" si="5"/>
        <v>450809.95849943056</v>
      </c>
      <c r="C86" s="52">
        <v>0</v>
      </c>
      <c r="D86" s="52">
        <f t="shared" ref="D86:E86" si="48">D85</f>
        <v>250</v>
      </c>
      <c r="E86" s="52">
        <f t="shared" si="48"/>
        <v>750</v>
      </c>
      <c r="F86" s="52">
        <f t="shared" si="7"/>
        <v>4451.4907340779519</v>
      </c>
      <c r="G86" s="52">
        <f t="shared" si="2"/>
        <v>5451.4907340779519</v>
      </c>
      <c r="H86" s="52">
        <f t="shared" si="3"/>
        <v>-3325.5512921970212</v>
      </c>
      <c r="I86" s="52">
        <f t="shared" si="4"/>
        <v>2125.9394418809306</v>
      </c>
    </row>
    <row r="87" spans="1:9" ht="15.75" customHeight="1" x14ac:dyDescent="0.25">
      <c r="A87" s="62">
        <v>43313</v>
      </c>
      <c r="B87" s="52">
        <f t="shared" si="5"/>
        <v>452935.89794131147</v>
      </c>
      <c r="C87" s="52">
        <v>0</v>
      </c>
      <c r="D87" s="52">
        <f t="shared" ref="D87:E87" si="49">D86</f>
        <v>250</v>
      </c>
      <c r="E87" s="52">
        <f t="shared" si="49"/>
        <v>750</v>
      </c>
      <c r="F87" s="52">
        <f t="shared" si="7"/>
        <v>3128.5343540774934</v>
      </c>
      <c r="G87" s="52">
        <f t="shared" si="2"/>
        <v>4128.5343540774938</v>
      </c>
      <c r="H87" s="52">
        <f t="shared" si="3"/>
        <v>-2492.9778037575638</v>
      </c>
      <c r="I87" s="52">
        <f t="shared" si="4"/>
        <v>1635.55655031993</v>
      </c>
    </row>
    <row r="88" spans="1:9" ht="15.75" customHeight="1" x14ac:dyDescent="0.25">
      <c r="A88" s="62">
        <v>43344</v>
      </c>
      <c r="B88" s="52">
        <f t="shared" si="5"/>
        <v>454571.45449163142</v>
      </c>
      <c r="C88" s="52">
        <v>0</v>
      </c>
      <c r="D88" s="52">
        <f t="shared" ref="D88:E88" si="50">D87</f>
        <v>250</v>
      </c>
      <c r="E88" s="52">
        <f t="shared" si="50"/>
        <v>750</v>
      </c>
      <c r="F88" s="52">
        <f t="shared" si="7"/>
        <v>2375.7533661569132</v>
      </c>
      <c r="G88" s="52">
        <f t="shared" si="2"/>
        <v>3375.7533661569132</v>
      </c>
      <c r="H88" s="52">
        <f t="shared" si="3"/>
        <v>-1932.6581427588662</v>
      </c>
      <c r="I88" s="52">
        <f t="shared" si="4"/>
        <v>1443.095223398047</v>
      </c>
    </row>
    <row r="89" spans="1:9" ht="15.75" customHeight="1" x14ac:dyDescent="0.25">
      <c r="A89" s="62">
        <v>43374</v>
      </c>
      <c r="B89" s="52">
        <f t="shared" si="5"/>
        <v>456014.54971502948</v>
      </c>
      <c r="C89" s="52">
        <v>0</v>
      </c>
      <c r="D89" s="52">
        <f t="shared" ref="D89:E89" si="51">D88</f>
        <v>250</v>
      </c>
      <c r="E89" s="52">
        <f t="shared" si="51"/>
        <v>750</v>
      </c>
      <c r="F89" s="52">
        <f t="shared" si="7"/>
        <v>1865.6674690750367</v>
      </c>
      <c r="G89" s="52">
        <f t="shared" si="2"/>
        <v>2865.6674690750369</v>
      </c>
      <c r="H89" s="52">
        <f t="shared" si="3"/>
        <v>-1553.3786059648967</v>
      </c>
      <c r="I89" s="52">
        <f t="shared" si="4"/>
        <v>1312.2888631101403</v>
      </c>
    </row>
    <row r="90" spans="1:9" ht="15.75" customHeight="1" x14ac:dyDescent="0.25">
      <c r="A90" s="62">
        <v>43405</v>
      </c>
      <c r="B90" s="52">
        <f t="shared" si="5"/>
        <v>457326.83857813961</v>
      </c>
      <c r="C90" s="52">
        <v>0</v>
      </c>
      <c r="D90" s="52">
        <f t="shared" ref="D90:E90" si="52">D89</f>
        <v>250</v>
      </c>
      <c r="E90" s="52">
        <f t="shared" si="52"/>
        <v>750</v>
      </c>
      <c r="F90" s="52">
        <f t="shared" si="7"/>
        <v>1517.355227318707</v>
      </c>
      <c r="G90" s="52">
        <f t="shared" si="2"/>
        <v>2517.355227318707</v>
      </c>
      <c r="H90" s="52">
        <f t="shared" si="3"/>
        <v>-1288.4583444021978</v>
      </c>
      <c r="I90" s="52">
        <f t="shared" si="4"/>
        <v>1228.8968829165092</v>
      </c>
    </row>
    <row r="91" spans="1:9" ht="15.75" customHeight="1" x14ac:dyDescent="0.25">
      <c r="A91" s="62">
        <v>43435</v>
      </c>
      <c r="B91" s="52">
        <f t="shared" si="5"/>
        <v>458555.73546105612</v>
      </c>
      <c r="C91" s="52">
        <v>0</v>
      </c>
      <c r="D91" s="52">
        <f t="shared" ref="D91:E91" si="53">D90</f>
        <v>250</v>
      </c>
      <c r="E91" s="52">
        <f t="shared" si="53"/>
        <v>750</v>
      </c>
      <c r="F91" s="52">
        <f t="shared" si="7"/>
        <v>1279.7439052931345</v>
      </c>
      <c r="G91" s="52">
        <f t="shared" si="2"/>
        <v>2279.7439052931345</v>
      </c>
      <c r="H91" s="52">
        <f t="shared" si="3"/>
        <v>-1103.2204518751826</v>
      </c>
      <c r="I91" s="52">
        <f t="shared" si="4"/>
        <v>1176.5234534179519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65"/>
  <sheetViews>
    <sheetView showGridLines="0" tabSelected="1" zoomScaleNormal="100" workbookViewId="0">
      <pane ySplit="2" topLeftCell="A3" activePane="bottomLeft" state="frozen"/>
      <selection activeCell="C18" sqref="C18"/>
      <selection pane="bottomLeft" activeCell="B1" sqref="B1"/>
    </sheetView>
  </sheetViews>
  <sheetFormatPr defaultColWidth="17.28515625" defaultRowHeight="15" customHeight="1" x14ac:dyDescent="0.2"/>
  <cols>
    <col min="1" max="1" width="3" customWidth="1"/>
    <col min="2" max="2" width="32.5703125" customWidth="1"/>
    <col min="3" max="4" width="12.5703125" customWidth="1"/>
    <col min="5" max="5" width="13.28515625" customWidth="1"/>
    <col min="6" max="8" width="12.5703125" customWidth="1"/>
    <col min="9" max="9" width="8.7109375" customWidth="1"/>
    <col min="10" max="10" width="32.140625" customWidth="1"/>
    <col min="11" max="11" width="10.7109375" customWidth="1"/>
    <col min="12" max="12" width="12.140625" customWidth="1"/>
    <col min="13" max="13" width="9.5703125" customWidth="1"/>
    <col min="14" max="15" width="10.5703125" customWidth="1"/>
    <col min="16" max="16" width="9.140625" customWidth="1"/>
  </cols>
  <sheetData>
    <row r="1" spans="2:16" ht="12.75" customHeight="1" x14ac:dyDescent="0.2">
      <c r="B1" s="3" t="s">
        <v>2</v>
      </c>
      <c r="C1" s="9">
        <f>'Tasa de descuento'!B11</f>
        <v>0.15740000000000001</v>
      </c>
      <c r="D1" s="10"/>
      <c r="E1" s="11" t="s">
        <v>19</v>
      </c>
      <c r="F1" s="13">
        <f>IRR(C51:H51)</f>
        <v>0.908187798104368</v>
      </c>
      <c r="G1" s="10"/>
      <c r="H1" s="10"/>
      <c r="J1" s="10"/>
      <c r="K1" s="10"/>
      <c r="L1" s="10"/>
      <c r="M1" s="10"/>
      <c r="N1" s="10"/>
      <c r="O1" s="10"/>
      <c r="P1" s="37"/>
    </row>
    <row r="2" spans="2:16" ht="12.75" customHeight="1" x14ac:dyDescent="0.2">
      <c r="B2" s="3" t="s">
        <v>57</v>
      </c>
      <c r="C2" s="45">
        <f t="array" ref="C2">C51+NPV(C1,D51:H51)</f>
        <v>6136599.7560194973</v>
      </c>
      <c r="D2" s="10"/>
      <c r="E2" s="54" t="s">
        <v>73</v>
      </c>
      <c r="F2" s="55">
        <f>C59</f>
        <v>0.37046657711394892</v>
      </c>
      <c r="G2" s="10"/>
      <c r="H2" s="10"/>
      <c r="J2" s="10"/>
      <c r="K2" s="10"/>
      <c r="L2" s="10"/>
      <c r="M2" s="10"/>
      <c r="N2" s="10"/>
      <c r="O2" s="10"/>
      <c r="P2" s="37"/>
    </row>
    <row r="3" spans="2:16" ht="13.5" customHeight="1" x14ac:dyDescent="0.2">
      <c r="B3" s="57" t="s">
        <v>99</v>
      </c>
      <c r="C3" s="58" t="s">
        <v>101</v>
      </c>
      <c r="D3" s="58" t="s">
        <v>102</v>
      </c>
      <c r="E3" s="195" t="s">
        <v>103</v>
      </c>
      <c r="F3" s="196"/>
      <c r="G3" s="196"/>
      <c r="H3" s="197"/>
      <c r="J3" s="63"/>
      <c r="K3" s="10"/>
      <c r="L3" s="10"/>
      <c r="M3" s="10"/>
      <c r="N3" s="10"/>
      <c r="O3" s="10"/>
      <c r="P3" s="10"/>
    </row>
    <row r="4" spans="2:16" ht="12.75" customHeight="1" x14ac:dyDescent="0.2">
      <c r="B4" s="65"/>
      <c r="C4" s="67" t="s">
        <v>125</v>
      </c>
      <c r="D4" s="67" t="s">
        <v>129</v>
      </c>
      <c r="E4" s="67" t="s">
        <v>130</v>
      </c>
      <c r="F4" s="67" t="s">
        <v>131</v>
      </c>
      <c r="G4" s="67" t="s">
        <v>132</v>
      </c>
      <c r="H4" s="67" t="s">
        <v>133</v>
      </c>
      <c r="J4" s="63"/>
      <c r="K4" s="10"/>
      <c r="L4" s="10"/>
      <c r="M4" s="10"/>
      <c r="N4" s="10"/>
      <c r="O4" s="10"/>
      <c r="P4" s="10"/>
    </row>
    <row r="5" spans="2:16" ht="12.75" customHeight="1" x14ac:dyDescent="0.2">
      <c r="B5" s="68"/>
      <c r="C5" s="68"/>
      <c r="D5" s="69"/>
      <c r="E5" s="70"/>
      <c r="F5" s="70"/>
      <c r="G5" s="70"/>
      <c r="H5" s="70"/>
      <c r="J5" s="3" t="s">
        <v>41</v>
      </c>
      <c r="K5" s="71" t="s">
        <v>10</v>
      </c>
      <c r="L5" s="71" t="s">
        <v>13</v>
      </c>
      <c r="M5" s="71" t="s">
        <v>14</v>
      </c>
      <c r="N5" s="71" t="s">
        <v>15</v>
      </c>
      <c r="O5" s="71" t="s">
        <v>16</v>
      </c>
      <c r="P5" s="71" t="s">
        <v>17</v>
      </c>
    </row>
    <row r="6" spans="2:16" ht="12.75" customHeight="1" x14ac:dyDescent="0.2">
      <c r="B6" s="65"/>
      <c r="D6" s="56"/>
      <c r="E6" s="72"/>
      <c r="F6" s="73"/>
      <c r="G6" s="73"/>
      <c r="H6" s="73"/>
      <c r="J6" s="30" t="s">
        <v>44</v>
      </c>
      <c r="K6" s="43">
        <v>642828.13079839852</v>
      </c>
      <c r="L6" s="43">
        <v>771393.75695807813</v>
      </c>
      <c r="M6" s="43">
        <v>887102.82050178968</v>
      </c>
      <c r="N6" s="43">
        <v>1020168.2435770581</v>
      </c>
      <c r="O6" s="43">
        <v>1173193.4801136167</v>
      </c>
      <c r="P6" s="43">
        <v>1349172.5021306591</v>
      </c>
    </row>
    <row r="7" spans="2:16" ht="12.75" customHeight="1" x14ac:dyDescent="0.2">
      <c r="B7" s="56" t="s">
        <v>137</v>
      </c>
      <c r="C7" s="6"/>
      <c r="D7" s="74">
        <v>1000</v>
      </c>
      <c r="E7" s="73"/>
      <c r="F7" s="73"/>
      <c r="G7" s="73"/>
      <c r="H7" s="73"/>
      <c r="J7" s="76" t="s">
        <v>139</v>
      </c>
      <c r="K7" s="77"/>
      <c r="L7" s="78">
        <f t="shared" ref="L7:P7" si="0">(L6-K6)/K6</f>
        <v>0.19999999999999984</v>
      </c>
      <c r="M7" s="78">
        <f t="shared" si="0"/>
        <v>0.1499999999999998</v>
      </c>
      <c r="N7" s="78">
        <f t="shared" si="0"/>
        <v>0.14999999999999994</v>
      </c>
      <c r="O7" s="78">
        <f t="shared" si="0"/>
        <v>0.14999999999999988</v>
      </c>
      <c r="P7" s="78">
        <f t="shared" si="0"/>
        <v>0.14999999999999991</v>
      </c>
    </row>
    <row r="8" spans="2:16" ht="12.75" customHeight="1" x14ac:dyDescent="0.2">
      <c r="B8" s="56" t="s">
        <v>142</v>
      </c>
      <c r="C8" s="38">
        <v>0</v>
      </c>
      <c r="D8" s="74">
        <f>D7*L27*K27</f>
        <v>8000</v>
      </c>
      <c r="E8" s="40"/>
      <c r="F8" s="81"/>
      <c r="G8" s="81"/>
      <c r="H8" s="81"/>
      <c r="J8" s="39" t="s">
        <v>143</v>
      </c>
      <c r="K8" s="83"/>
      <c r="L8" s="43">
        <f t="shared" ref="L8:P8" si="1">$K$15*L9</f>
        <v>73.39</v>
      </c>
      <c r="M8" s="43">
        <f t="shared" si="1"/>
        <v>220.17</v>
      </c>
      <c r="N8" s="43">
        <f t="shared" si="1"/>
        <v>733.90000000000009</v>
      </c>
      <c r="O8" s="43">
        <f t="shared" si="1"/>
        <v>1100.8499999999999</v>
      </c>
      <c r="P8" s="43">
        <f t="shared" si="1"/>
        <v>1467.8000000000002</v>
      </c>
    </row>
    <row r="9" spans="2:16" ht="12.75" customHeight="1" x14ac:dyDescent="0.2">
      <c r="B9" s="56" t="s">
        <v>145</v>
      </c>
      <c r="C9" s="81">
        <v>0</v>
      </c>
      <c r="D9" s="86">
        <f>D8*K28*L28</f>
        <v>64000</v>
      </c>
      <c r="E9" s="74"/>
      <c r="F9" s="74"/>
      <c r="G9" s="74"/>
      <c r="H9" s="74"/>
      <c r="J9" s="76" t="s">
        <v>238</v>
      </c>
      <c r="K9" s="83"/>
      <c r="L9" s="87">
        <v>0.01</v>
      </c>
      <c r="M9" s="87">
        <v>0.03</v>
      </c>
      <c r="N9" s="87">
        <v>0.1</v>
      </c>
      <c r="O9" s="89">
        <v>0.15</v>
      </c>
      <c r="P9" s="89">
        <v>0.2</v>
      </c>
    </row>
    <row r="10" spans="2:16" ht="12.75" customHeight="1" x14ac:dyDescent="0.2">
      <c r="B10" s="56"/>
      <c r="C10" s="81"/>
      <c r="D10" s="90"/>
      <c r="E10" s="90"/>
      <c r="F10" s="90"/>
      <c r="G10" s="90"/>
      <c r="H10" s="90"/>
      <c r="J10" s="56"/>
      <c r="K10" s="91"/>
      <c r="L10" s="10"/>
      <c r="M10" s="10"/>
      <c r="N10" s="10"/>
      <c r="O10" s="10"/>
      <c r="P10" s="10"/>
    </row>
    <row r="11" spans="2:16" ht="12.75" customHeight="1" x14ac:dyDescent="0.2">
      <c r="B11" s="63" t="s">
        <v>148</v>
      </c>
      <c r="C11" s="81">
        <v>0</v>
      </c>
      <c r="D11" s="74">
        <f>D7+D8+D9</f>
        <v>73000</v>
      </c>
      <c r="E11" s="74">
        <f>AVERAGE(Viralization!C44,Viralization!B46,Viralization!B45,Viralization!B47,Viralization!B48,Viralization!B49,Viralization!B50,Viralization!B51,Viralization!B52,Viralization!B53,Viralization!B54,Viralization!B55)</f>
        <v>149774.91248555674</v>
      </c>
      <c r="F11" s="74">
        <f>AVERAGE(Viralization!B56:B67)</f>
        <v>235808.0872915884</v>
      </c>
      <c r="G11" s="90">
        <f>AVERAGE(Viralization!B68:B79)</f>
        <v>332495.84399521298</v>
      </c>
      <c r="H11" s="90">
        <f>AVERAGE(Viralization!B80:B91)</f>
        <v>439793.56386700139</v>
      </c>
    </row>
    <row r="12" spans="2:16" ht="12.75" customHeight="1" x14ac:dyDescent="0.2">
      <c r="B12" s="63" t="s">
        <v>154</v>
      </c>
      <c r="C12" s="96">
        <f t="shared" ref="C12:H12" si="2">C11/K6</f>
        <v>0</v>
      </c>
      <c r="D12" s="96">
        <f t="shared" si="2"/>
        <v>9.4633900445174626E-2</v>
      </c>
      <c r="E12" s="96">
        <f t="shared" si="2"/>
        <v>0.16883602331557976</v>
      </c>
      <c r="F12" s="96">
        <f t="shared" si="2"/>
        <v>0.23114627295666915</v>
      </c>
      <c r="G12" s="96">
        <f t="shared" si="2"/>
        <v>0.28341092039056742</v>
      </c>
      <c r="H12" s="96">
        <f t="shared" si="2"/>
        <v>0.3259728190223744</v>
      </c>
      <c r="J12" s="76" t="s">
        <v>156</v>
      </c>
      <c r="K12" s="76">
        <v>5573</v>
      </c>
      <c r="L12" s="91" t="s">
        <v>157</v>
      </c>
      <c r="N12" s="91" t="s">
        <v>158</v>
      </c>
      <c r="O12" s="91">
        <v>33</v>
      </c>
      <c r="P12" s="56" t="s">
        <v>159</v>
      </c>
    </row>
    <row r="13" spans="2:16" ht="12.75" customHeight="1" x14ac:dyDescent="0.2">
      <c r="B13" s="6"/>
      <c r="E13" s="14"/>
      <c r="F13" s="14"/>
      <c r="G13" s="14"/>
      <c r="H13" s="14"/>
      <c r="J13" s="76" t="s">
        <v>160</v>
      </c>
      <c r="K13" s="76">
        <v>1581</v>
      </c>
      <c r="L13" s="86"/>
      <c r="N13" s="56" t="s">
        <v>161</v>
      </c>
      <c r="O13" s="91">
        <v>59</v>
      </c>
      <c r="P13" s="86"/>
    </row>
    <row r="14" spans="2:16" ht="12.75" customHeight="1" x14ac:dyDescent="0.2">
      <c r="B14" s="129" t="s">
        <v>231</v>
      </c>
      <c r="C14" s="97" t="s">
        <v>125</v>
      </c>
      <c r="D14" s="97" t="s">
        <v>129</v>
      </c>
      <c r="E14" s="97" t="s">
        <v>130</v>
      </c>
      <c r="F14" s="97" t="s">
        <v>131</v>
      </c>
      <c r="G14" s="97" t="s">
        <v>132</v>
      </c>
      <c r="H14" s="97" t="s">
        <v>133</v>
      </c>
      <c r="J14" s="39" t="s">
        <v>163</v>
      </c>
      <c r="K14" s="98">
        <f>SUM(O12:O16)</f>
        <v>185</v>
      </c>
      <c r="L14" s="100"/>
      <c r="N14" s="56" t="s">
        <v>166</v>
      </c>
      <c r="O14" s="91">
        <v>10</v>
      </c>
      <c r="P14" s="100"/>
    </row>
    <row r="15" spans="2:16" ht="12.75" customHeight="1" x14ac:dyDescent="0.2">
      <c r="B15" s="104" t="s">
        <v>167</v>
      </c>
      <c r="C15" s="101">
        <v>0</v>
      </c>
      <c r="D15" s="103">
        <v>0</v>
      </c>
      <c r="E15" s="101">
        <f t="shared" ref="E15:H15" si="3">E11*$K$31/2*$K$21*$K$22</f>
        <v>1235643.0280058431</v>
      </c>
      <c r="F15" s="101">
        <f t="shared" si="3"/>
        <v>1945416.7201556046</v>
      </c>
      <c r="G15" s="101">
        <f t="shared" si="3"/>
        <v>2743090.7129605077</v>
      </c>
      <c r="H15" s="101">
        <f t="shared" si="3"/>
        <v>3628296.9019027613</v>
      </c>
      <c r="J15" s="11" t="s">
        <v>171</v>
      </c>
      <c r="K15" s="178">
        <f>SUM(K12:K14)</f>
        <v>7339</v>
      </c>
      <c r="N15" s="56" t="s">
        <v>173</v>
      </c>
      <c r="O15" s="91">
        <v>74</v>
      </c>
    </row>
    <row r="16" spans="2:16" ht="12.75" customHeight="1" x14ac:dyDescent="0.2">
      <c r="B16" s="104" t="s">
        <v>174</v>
      </c>
      <c r="C16" s="101">
        <v>0</v>
      </c>
      <c r="D16" s="101">
        <v>0</v>
      </c>
      <c r="E16" s="101">
        <f>M48</f>
        <v>30600</v>
      </c>
      <c r="F16" s="101">
        <f t="shared" ref="F16:H16" si="4">N48</f>
        <v>36720</v>
      </c>
      <c r="G16" s="101">
        <f t="shared" si="4"/>
        <v>44063.999999999993</v>
      </c>
      <c r="H16" s="101">
        <f t="shared" si="4"/>
        <v>52876.799999999988</v>
      </c>
      <c r="N16" s="56" t="s">
        <v>175</v>
      </c>
      <c r="O16" s="91">
        <v>9</v>
      </c>
    </row>
    <row r="17" spans="2:16" ht="12.75" customHeight="1" x14ac:dyDescent="0.2">
      <c r="B17" s="104" t="s">
        <v>176</v>
      </c>
      <c r="C17" s="101">
        <f>'Ingresos por publicidad'!B4</f>
        <v>0</v>
      </c>
      <c r="D17" s="101">
        <f>'Ingresos por publicidad'!C4</f>
        <v>15986.999999999998</v>
      </c>
      <c r="E17" s="101">
        <f>'Ingresos por publicidad'!D4</f>
        <v>78721.694002408622</v>
      </c>
      <c r="F17" s="101">
        <f>'Ingresos por publicidad'!E4</f>
        <v>154925.9133505736</v>
      </c>
      <c r="G17" s="101">
        <f>'Ingresos por publicidad'!F4</f>
        <v>425977.0505344671</v>
      </c>
      <c r="H17" s="101">
        <f>'Ingresos por publicidad'!G4</f>
        <v>760646.05787008198</v>
      </c>
    </row>
    <row r="18" spans="2:16" ht="12.75" customHeight="1" x14ac:dyDescent="0.2">
      <c r="B18" s="105" t="s">
        <v>180</v>
      </c>
      <c r="C18" s="106">
        <f t="shared" ref="C18:H18" si="5">C15+C16+C17</f>
        <v>0</v>
      </c>
      <c r="D18" s="106">
        <f t="shared" si="5"/>
        <v>15986.999999999998</v>
      </c>
      <c r="E18" s="106">
        <f t="shared" si="5"/>
        <v>1344964.7220082516</v>
      </c>
      <c r="F18" s="106">
        <f t="shared" si="5"/>
        <v>2137062.6335061784</v>
      </c>
      <c r="G18" s="106">
        <f t="shared" si="5"/>
        <v>3213131.7634949749</v>
      </c>
      <c r="H18" s="106">
        <f t="shared" si="5"/>
        <v>4441819.7597728427</v>
      </c>
      <c r="J18" s="205"/>
      <c r="K18" s="175"/>
      <c r="L18" s="175"/>
    </row>
    <row r="19" spans="2:16" ht="12.75" customHeight="1" x14ac:dyDescent="0.2">
      <c r="B19" s="130" t="s">
        <v>181</v>
      </c>
      <c r="C19" s="131"/>
      <c r="D19" s="131"/>
      <c r="E19" s="109">
        <f t="shared" ref="E19:H19" si="6">E18/D18-1</f>
        <v>83.128649653359091</v>
      </c>
      <c r="F19" s="109">
        <f t="shared" si="6"/>
        <v>0.5889358274878731</v>
      </c>
      <c r="G19" s="109">
        <f t="shared" si="6"/>
        <v>0.50352718405044605</v>
      </c>
      <c r="H19" s="109">
        <f t="shared" si="6"/>
        <v>0.38239577045586337</v>
      </c>
      <c r="J19" s="56"/>
      <c r="K19" s="91"/>
      <c r="L19" s="10"/>
    </row>
    <row r="20" spans="2:16" ht="6.95" customHeight="1" x14ac:dyDescent="0.2">
      <c r="B20" s="104"/>
    </row>
    <row r="21" spans="2:16" ht="12.75" customHeight="1" x14ac:dyDescent="0.2">
      <c r="B21" s="104" t="s">
        <v>11</v>
      </c>
      <c r="C21" s="101">
        <f>'Gastos de Marketing'!B4</f>
        <v>0</v>
      </c>
      <c r="D21" s="101">
        <f>'Gastos de Marketing'!C4</f>
        <v>423000</v>
      </c>
      <c r="E21" s="101">
        <f>'Gastos de Marketing'!D4</f>
        <v>1795726.8087698449</v>
      </c>
      <c r="F21" s="101">
        <f>'Gastos de Marketing'!E4</f>
        <v>1567625.5669461188</v>
      </c>
      <c r="G21" s="101">
        <f>'Gastos de Marketing'!F4</f>
        <v>1205279.500232711</v>
      </c>
      <c r="H21" s="101">
        <f>'Gastos de Marketing'!G4</f>
        <v>1289333.0144141917</v>
      </c>
      <c r="J21" s="3" t="s">
        <v>185</v>
      </c>
      <c r="K21" s="108">
        <v>15</v>
      </c>
      <c r="L21" s="10"/>
    </row>
    <row r="22" spans="2:16" ht="12.75" customHeight="1" x14ac:dyDescent="0.2">
      <c r="B22" s="130" t="s">
        <v>190</v>
      </c>
      <c r="C22" s="131"/>
      <c r="D22" s="132">
        <f t="shared" ref="D22:H22" si="7">IFERROR(D21/D$18,0)</f>
        <v>26.458997935822858</v>
      </c>
      <c r="E22" s="109">
        <f t="shared" si="7"/>
        <v>1.3351478885546768</v>
      </c>
      <c r="F22" s="109">
        <f t="shared" si="7"/>
        <v>0.73354217249785947</v>
      </c>
      <c r="G22" s="109">
        <f t="shared" si="7"/>
        <v>0.37511051178359056</v>
      </c>
      <c r="H22" s="109">
        <f t="shared" si="7"/>
        <v>0.29027134916436342</v>
      </c>
      <c r="J22" s="110" t="s">
        <v>191</v>
      </c>
      <c r="K22" s="111">
        <v>0.05</v>
      </c>
      <c r="L22" s="10"/>
    </row>
    <row r="23" spans="2:16" ht="12.75" customHeight="1" x14ac:dyDescent="0.2">
      <c r="B23" s="104" t="s">
        <v>9</v>
      </c>
      <c r="C23" s="101">
        <f>'Gastos de Producción'!B4</f>
        <v>0</v>
      </c>
      <c r="D23" s="101">
        <f>'Gastos de Producción'!C4</f>
        <v>180920</v>
      </c>
      <c r="E23" s="101">
        <f>'Gastos de Producción'!D4</f>
        <v>246920</v>
      </c>
      <c r="F23" s="101">
        <f>'Gastos de Producción'!E4</f>
        <v>274120</v>
      </c>
      <c r="G23" s="101">
        <f>'Gastos de Producción'!F4</f>
        <v>306260.00000000006</v>
      </c>
      <c r="H23" s="101">
        <f>'Gastos de Producción'!G4</f>
        <v>337534.00000000012</v>
      </c>
      <c r="J23" s="10"/>
      <c r="K23" s="10"/>
      <c r="L23" s="10"/>
    </row>
    <row r="24" spans="2:16" ht="12.75" customHeight="1" x14ac:dyDescent="0.2">
      <c r="B24" s="130" t="s">
        <v>190</v>
      </c>
      <c r="C24" s="131"/>
      <c r="D24" s="132">
        <f t="shared" ref="D24:H24" si="8">IFERROR(D23/D$18,0)</f>
        <v>11.316694814536813</v>
      </c>
      <c r="E24" s="109">
        <f t="shared" si="8"/>
        <v>0.18358845846254479</v>
      </c>
      <c r="F24" s="109">
        <f t="shared" si="8"/>
        <v>0.12826952083770432</v>
      </c>
      <c r="G24" s="109">
        <f t="shared" si="8"/>
        <v>9.5315107671425259E-2</v>
      </c>
      <c r="H24" s="109">
        <f t="shared" si="8"/>
        <v>7.5990026217826953E-2</v>
      </c>
      <c r="J24" s="39" t="s">
        <v>192</v>
      </c>
      <c r="K24" s="112">
        <v>5</v>
      </c>
      <c r="L24" s="10"/>
    </row>
    <row r="25" spans="2:16" ht="12.75" customHeight="1" x14ac:dyDescent="0.2">
      <c r="B25" s="104" t="s">
        <v>4</v>
      </c>
      <c r="C25" s="101">
        <f>'Gastos de Administración'!B4</f>
        <v>4500</v>
      </c>
      <c r="D25" s="101">
        <f>'Gastos de Administración'!C4</f>
        <v>72723.399999999994</v>
      </c>
      <c r="E25" s="101">
        <f>'Gastos de Administración'!D4</f>
        <v>86530.2</v>
      </c>
      <c r="F25" s="101">
        <f>'Gastos de Administración'!E4</f>
        <v>122854.00000000003</v>
      </c>
      <c r="G25" s="101">
        <f>'Gastos de Administración'!F4</f>
        <v>150921</v>
      </c>
      <c r="H25" s="101">
        <f>'Gastos de Administración'!G4</f>
        <v>179593.00000000006</v>
      </c>
      <c r="J25" s="39" t="s">
        <v>193</v>
      </c>
      <c r="K25" s="112">
        <v>5</v>
      </c>
      <c r="M25" s="10"/>
      <c r="N25" s="10"/>
      <c r="O25" s="63"/>
      <c r="P25" s="113"/>
    </row>
    <row r="26" spans="2:16" ht="12.75" customHeight="1" x14ac:dyDescent="0.2">
      <c r="B26" s="130" t="s">
        <v>190</v>
      </c>
      <c r="C26" s="131"/>
      <c r="D26" s="132">
        <f t="shared" ref="D26:H26" si="9">IFERROR(D25/D$18,0)</f>
        <v>4.5489084881466191</v>
      </c>
      <c r="E26" s="109">
        <f t="shared" si="9"/>
        <v>6.4336408668620171E-2</v>
      </c>
      <c r="F26" s="109">
        <f t="shared" si="9"/>
        <v>5.7487318375147124E-2</v>
      </c>
      <c r="G26" s="109">
        <f t="shared" si="9"/>
        <v>4.697006257715395E-2</v>
      </c>
      <c r="H26" s="109">
        <f t="shared" si="9"/>
        <v>4.0432302460013496E-2</v>
      </c>
      <c r="L26" s="177" t="s">
        <v>194</v>
      </c>
      <c r="M26" s="10"/>
      <c r="N26" s="10"/>
      <c r="O26" s="63"/>
      <c r="P26" s="114"/>
    </row>
    <row r="27" spans="2:16" ht="12.75" customHeight="1" x14ac:dyDescent="0.2">
      <c r="B27" s="105" t="s">
        <v>195</v>
      </c>
      <c r="C27" s="106">
        <f t="shared" ref="C27:H27" si="10">C21+C23+C25</f>
        <v>4500</v>
      </c>
      <c r="D27" s="106">
        <f t="shared" si="10"/>
        <v>676643.4</v>
      </c>
      <c r="E27" s="106">
        <f t="shared" si="10"/>
        <v>2129177.0087698451</v>
      </c>
      <c r="F27" s="106">
        <f t="shared" si="10"/>
        <v>1964599.5669461188</v>
      </c>
      <c r="G27" s="106">
        <f t="shared" si="10"/>
        <v>1662460.500232711</v>
      </c>
      <c r="H27" s="106">
        <f t="shared" si="10"/>
        <v>1806460.0144141917</v>
      </c>
      <c r="J27" s="115" t="s">
        <v>196</v>
      </c>
      <c r="K27" s="111">
        <v>0.8</v>
      </c>
      <c r="L27" s="176">
        <v>10</v>
      </c>
      <c r="M27" s="10"/>
      <c r="N27" s="10"/>
      <c r="O27" s="63"/>
      <c r="P27" s="113"/>
    </row>
    <row r="28" spans="2:16" ht="12.75" customHeight="1" x14ac:dyDescent="0.2">
      <c r="B28" s="130" t="s">
        <v>190</v>
      </c>
      <c r="C28" s="131"/>
      <c r="D28" s="132">
        <f t="shared" ref="D28:H28" si="11">IFERROR(D27/D$18,0)</f>
        <v>42.32460123850629</v>
      </c>
      <c r="E28" s="109">
        <f t="shared" si="11"/>
        <v>1.5830727556858419</v>
      </c>
      <c r="F28" s="109">
        <f t="shared" si="11"/>
        <v>0.91929901171071082</v>
      </c>
      <c r="G28" s="109">
        <f t="shared" si="11"/>
        <v>0.51739568203216979</v>
      </c>
      <c r="H28" s="109">
        <f t="shared" si="11"/>
        <v>0.40669367784220384</v>
      </c>
      <c r="J28" s="115" t="s">
        <v>197</v>
      </c>
      <c r="K28" s="111">
        <v>0.8</v>
      </c>
      <c r="L28" s="76">
        <v>10</v>
      </c>
      <c r="M28" s="10"/>
      <c r="N28" s="10"/>
      <c r="O28" s="10"/>
      <c r="P28" s="37"/>
    </row>
    <row r="29" spans="2:16" ht="6.95" customHeight="1" x14ac:dyDescent="0.2">
      <c r="B29" s="104"/>
      <c r="J29" s="70"/>
      <c r="K29" s="116"/>
      <c r="L29" s="91"/>
      <c r="M29" s="10"/>
      <c r="N29" s="10"/>
      <c r="O29" s="10"/>
      <c r="P29" s="37"/>
    </row>
    <row r="30" spans="2:16" ht="12.75" customHeight="1" x14ac:dyDescent="0.2">
      <c r="B30" s="105" t="s">
        <v>198</v>
      </c>
      <c r="C30" s="106">
        <f t="shared" ref="C30:H30" si="12">C18-C27</f>
        <v>-4500</v>
      </c>
      <c r="D30" s="106">
        <f t="shared" si="12"/>
        <v>-660656.4</v>
      </c>
      <c r="E30" s="106">
        <f t="shared" si="12"/>
        <v>-784212.28676159354</v>
      </c>
      <c r="F30" s="106">
        <f t="shared" si="12"/>
        <v>172463.06656005955</v>
      </c>
      <c r="G30" s="106">
        <f t="shared" si="12"/>
        <v>1550671.263262264</v>
      </c>
      <c r="H30" s="106">
        <f t="shared" si="12"/>
        <v>2635359.745358651</v>
      </c>
      <c r="L30" s="10"/>
      <c r="M30" s="10"/>
      <c r="N30" s="10"/>
      <c r="O30" s="10"/>
      <c r="P30" s="37"/>
    </row>
    <row r="31" spans="2:16" ht="12.75" customHeight="1" x14ac:dyDescent="0.2">
      <c r="B31" s="130" t="s">
        <v>190</v>
      </c>
      <c r="C31" s="131"/>
      <c r="D31" s="132">
        <f t="shared" ref="D31:H31" si="13">IFERROR(D30/D$18,0)</f>
        <v>-41.32460123850629</v>
      </c>
      <c r="E31" s="109">
        <f t="shared" si="13"/>
        <v>-0.58307275568584194</v>
      </c>
      <c r="F31" s="109">
        <f t="shared" si="13"/>
        <v>8.0700988289289163E-2</v>
      </c>
      <c r="G31" s="109">
        <f t="shared" si="13"/>
        <v>0.48260431796783021</v>
      </c>
      <c r="H31" s="109">
        <f t="shared" si="13"/>
        <v>0.59330632215779622</v>
      </c>
      <c r="J31" s="3" t="s">
        <v>199</v>
      </c>
      <c r="K31" s="76">
        <v>22</v>
      </c>
      <c r="L31" s="91"/>
      <c r="M31" s="91"/>
      <c r="N31" s="10"/>
      <c r="O31" s="10"/>
      <c r="P31" s="37"/>
    </row>
    <row r="32" spans="2:16" ht="6.95" customHeight="1" x14ac:dyDescent="0.2">
      <c r="B32" s="104"/>
      <c r="J32" s="63"/>
      <c r="K32" s="37"/>
      <c r="L32" s="10"/>
      <c r="M32" s="10"/>
      <c r="N32" s="10"/>
      <c r="O32" s="10"/>
      <c r="P32" s="37"/>
    </row>
    <row r="33" spans="2:16" ht="12.75" customHeight="1" x14ac:dyDescent="0.2">
      <c r="B33" s="104" t="s">
        <v>200</v>
      </c>
      <c r="C33" s="91">
        <v>0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J33" s="76" t="s">
        <v>201</v>
      </c>
      <c r="K33" s="87">
        <v>0.01</v>
      </c>
      <c r="L33" s="10"/>
      <c r="M33" s="10"/>
      <c r="N33" s="10"/>
      <c r="O33" s="10"/>
      <c r="P33" s="37"/>
    </row>
    <row r="34" spans="2:16" ht="12.75" customHeight="1" x14ac:dyDescent="0.2">
      <c r="B34" s="105" t="s">
        <v>202</v>
      </c>
      <c r="C34" s="106">
        <f t="shared" ref="C34:H34" si="14">C30-C33</f>
        <v>-4500</v>
      </c>
      <c r="D34" s="106">
        <f t="shared" si="14"/>
        <v>-660656.4</v>
      </c>
      <c r="E34" s="106">
        <f t="shared" si="14"/>
        <v>-784212.28676159354</v>
      </c>
      <c r="F34" s="106">
        <f t="shared" si="14"/>
        <v>172463.06656005955</v>
      </c>
      <c r="G34" s="106">
        <f t="shared" si="14"/>
        <v>1550671.263262264</v>
      </c>
      <c r="H34" s="106">
        <f t="shared" si="14"/>
        <v>2635359.745358651</v>
      </c>
      <c r="L34" s="10"/>
      <c r="M34" s="10"/>
      <c r="N34" s="10"/>
      <c r="O34" s="10"/>
      <c r="P34" s="37"/>
    </row>
    <row r="35" spans="2:16" ht="12.75" customHeight="1" x14ac:dyDescent="0.2">
      <c r="B35" s="130" t="s">
        <v>190</v>
      </c>
      <c r="C35" s="131"/>
      <c r="D35" s="132">
        <f t="shared" ref="D35:H35" si="15">IFERROR(D34/D$18,0)</f>
        <v>-41.32460123850629</v>
      </c>
      <c r="E35" s="109">
        <f t="shared" si="15"/>
        <v>-0.58307275568584194</v>
      </c>
      <c r="F35" s="109">
        <f t="shared" si="15"/>
        <v>8.0700988289289163E-2</v>
      </c>
      <c r="G35" s="109">
        <f t="shared" si="15"/>
        <v>0.48260431796783021</v>
      </c>
      <c r="H35" s="109">
        <f t="shared" si="15"/>
        <v>0.59330632215779622</v>
      </c>
      <c r="J35" s="39" t="s">
        <v>203</v>
      </c>
      <c r="K35" s="39">
        <v>15</v>
      </c>
      <c r="L35" s="63"/>
      <c r="M35" s="10"/>
      <c r="N35" s="10"/>
      <c r="O35" s="10"/>
      <c r="P35" s="37"/>
    </row>
    <row r="36" spans="2:16" ht="6.95" customHeight="1" x14ac:dyDescent="0.2">
      <c r="B36" s="104"/>
      <c r="L36" s="63"/>
      <c r="M36" s="10"/>
      <c r="N36" s="10"/>
      <c r="O36" s="10"/>
      <c r="P36" s="37"/>
    </row>
    <row r="37" spans="2:16" ht="12.75" customHeight="1" x14ac:dyDescent="0.2">
      <c r="B37" s="130" t="s">
        <v>204</v>
      </c>
      <c r="C37" s="131">
        <v>0.35</v>
      </c>
      <c r="D37" s="132">
        <v>0.35</v>
      </c>
      <c r="E37" s="109">
        <v>0.35</v>
      </c>
      <c r="F37" s="109">
        <v>0.35</v>
      </c>
      <c r="G37" s="109">
        <v>0.35</v>
      </c>
      <c r="H37" s="109">
        <v>0.35</v>
      </c>
      <c r="J37" s="56"/>
      <c r="K37" s="10"/>
      <c r="L37" s="63"/>
      <c r="M37" s="10"/>
      <c r="N37" s="10"/>
      <c r="O37" s="10"/>
      <c r="P37" s="37"/>
    </row>
    <row r="38" spans="2:16" ht="12.75" customHeight="1" x14ac:dyDescent="0.2">
      <c r="B38" s="91" t="s">
        <v>205</v>
      </c>
      <c r="C38" s="101">
        <f t="shared" ref="C38:H38" si="16">IF(C34&lt;0,0,C34*C37)</f>
        <v>0</v>
      </c>
      <c r="D38" s="101">
        <f t="shared" si="16"/>
        <v>0</v>
      </c>
      <c r="E38" s="101">
        <f t="shared" si="16"/>
        <v>0</v>
      </c>
      <c r="F38" s="101">
        <f t="shared" si="16"/>
        <v>60362.073296020841</v>
      </c>
      <c r="G38" s="101">
        <f t="shared" si="16"/>
        <v>542734.94214179239</v>
      </c>
      <c r="H38" s="101">
        <f t="shared" si="16"/>
        <v>922375.91087552777</v>
      </c>
      <c r="J38" s="91"/>
      <c r="K38" s="10"/>
      <c r="L38" s="10"/>
      <c r="M38" s="10"/>
      <c r="N38" s="10"/>
      <c r="O38" s="10"/>
      <c r="P38" s="37"/>
    </row>
    <row r="39" spans="2:16" ht="12.75" customHeight="1" x14ac:dyDescent="0.2">
      <c r="B39" s="105" t="s">
        <v>206</v>
      </c>
      <c r="C39" s="106">
        <f t="shared" ref="C39:H39" si="17">C34-C38</f>
        <v>-4500</v>
      </c>
      <c r="D39" s="106">
        <f t="shared" si="17"/>
        <v>-660656.4</v>
      </c>
      <c r="E39" s="106">
        <f t="shared" si="17"/>
        <v>-784212.28676159354</v>
      </c>
      <c r="F39" s="106">
        <f t="shared" si="17"/>
        <v>112100.99326403871</v>
      </c>
      <c r="G39" s="106">
        <f t="shared" si="17"/>
        <v>1007936.3211204716</v>
      </c>
      <c r="H39" s="106">
        <f t="shared" si="17"/>
        <v>1712983.8344831234</v>
      </c>
      <c r="J39" s="10"/>
      <c r="K39" s="10"/>
      <c r="P39" s="37"/>
    </row>
    <row r="40" spans="2:16" ht="12.75" customHeight="1" x14ac:dyDescent="0.2">
      <c r="B40" s="130" t="s">
        <v>190</v>
      </c>
      <c r="C40" s="131"/>
      <c r="D40" s="132">
        <f t="shared" ref="D40:H40" si="18">IFERROR(D39/D$18,0)</f>
        <v>-41.32460123850629</v>
      </c>
      <c r="E40" s="109">
        <f t="shared" si="18"/>
        <v>-0.58307275568584194</v>
      </c>
      <c r="F40" s="109">
        <f t="shared" si="18"/>
        <v>5.2455642388037953E-2</v>
      </c>
      <c r="G40" s="109">
        <f t="shared" si="18"/>
        <v>0.31369280667908966</v>
      </c>
      <c r="H40" s="109">
        <f t="shared" si="18"/>
        <v>0.38564910940256758</v>
      </c>
      <c r="P40" s="37"/>
    </row>
    <row r="41" spans="2:16" ht="12.75" customHeight="1" x14ac:dyDescent="0.2">
      <c r="B41" s="104"/>
      <c r="J41" s="117" t="s">
        <v>207</v>
      </c>
      <c r="K41" s="71" t="s">
        <v>10</v>
      </c>
      <c r="L41" s="71" t="s">
        <v>13</v>
      </c>
      <c r="M41" s="71" t="s">
        <v>14</v>
      </c>
      <c r="N41" s="71" t="s">
        <v>15</v>
      </c>
      <c r="O41" s="71" t="s">
        <v>16</v>
      </c>
      <c r="P41" s="71" t="s">
        <v>17</v>
      </c>
    </row>
    <row r="42" spans="2:16" ht="12.75" customHeight="1" x14ac:dyDescent="0.2">
      <c r="B42" s="104" t="s">
        <v>225</v>
      </c>
      <c r="C42" s="103">
        <v>70000</v>
      </c>
      <c r="D42" s="103"/>
      <c r="E42" s="101"/>
      <c r="F42" s="101"/>
      <c r="G42" s="101"/>
      <c r="H42" s="63"/>
      <c r="J42" s="59" t="s">
        <v>208</v>
      </c>
      <c r="K42" s="120">
        <v>0</v>
      </c>
      <c r="L42" s="119">
        <v>0</v>
      </c>
      <c r="M42" s="120">
        <v>60</v>
      </c>
      <c r="N42" s="120">
        <f t="shared" ref="N42:P42" si="19">M42*1.2</f>
        <v>72</v>
      </c>
      <c r="O42" s="120">
        <f t="shared" si="19"/>
        <v>86.399999999999991</v>
      </c>
      <c r="P42" s="121">
        <f t="shared" si="19"/>
        <v>103.67999999999999</v>
      </c>
    </row>
    <row r="43" spans="2:16" ht="12.75" customHeight="1" x14ac:dyDescent="0.2">
      <c r="B43" s="104" t="s">
        <v>224</v>
      </c>
      <c r="C43" s="103">
        <v>30000</v>
      </c>
      <c r="D43" s="103"/>
      <c r="E43" s="101"/>
      <c r="F43" s="101"/>
      <c r="G43" s="101"/>
      <c r="H43" s="63"/>
      <c r="J43" s="118" t="s">
        <v>209</v>
      </c>
      <c r="K43" s="123">
        <v>0</v>
      </c>
      <c r="L43" s="122">
        <v>0</v>
      </c>
      <c r="M43" s="123">
        <v>50</v>
      </c>
      <c r="N43" s="123">
        <f t="shared" ref="N43:P43" si="20">M43*1.2</f>
        <v>60</v>
      </c>
      <c r="O43" s="123">
        <f t="shared" si="20"/>
        <v>72</v>
      </c>
      <c r="P43" s="121">
        <f t="shared" si="20"/>
        <v>86.399999999999991</v>
      </c>
    </row>
    <row r="44" spans="2:16" ht="12.75" customHeight="1" x14ac:dyDescent="0.2">
      <c r="B44" s="105" t="s">
        <v>210</v>
      </c>
      <c r="C44" s="106">
        <f t="shared" ref="C44:H44" si="21">SUM(C42:C43)</f>
        <v>100000</v>
      </c>
      <c r="D44" s="106">
        <f t="shared" si="21"/>
        <v>0</v>
      </c>
      <c r="E44" s="106">
        <f t="shared" si="21"/>
        <v>0</v>
      </c>
      <c r="F44" s="106">
        <f t="shared" si="21"/>
        <v>0</v>
      </c>
      <c r="G44" s="106">
        <f t="shared" si="21"/>
        <v>0</v>
      </c>
      <c r="H44" s="106">
        <f t="shared" si="21"/>
        <v>0</v>
      </c>
      <c r="J44" s="59" t="s">
        <v>211</v>
      </c>
      <c r="K44" s="124">
        <v>0</v>
      </c>
      <c r="L44" s="124">
        <v>0</v>
      </c>
      <c r="M44" s="124">
        <v>30</v>
      </c>
      <c r="N44" s="123">
        <f t="shared" ref="N44:P44" si="22">M44*1.2</f>
        <v>36</v>
      </c>
      <c r="O44" s="123">
        <f t="shared" si="22"/>
        <v>43.199999999999996</v>
      </c>
      <c r="P44" s="121">
        <f t="shared" si="22"/>
        <v>51.839999999999996</v>
      </c>
    </row>
    <row r="45" spans="2:16" ht="12.75" customHeight="1" x14ac:dyDescent="0.2">
      <c r="B45" s="104"/>
      <c r="J45" s="118" t="s">
        <v>212</v>
      </c>
      <c r="K45" s="123">
        <v>0</v>
      </c>
      <c r="L45" s="123">
        <v>0</v>
      </c>
      <c r="M45" s="123">
        <v>20</v>
      </c>
      <c r="N45" s="123">
        <f t="shared" ref="N45:P45" si="23">M45*1.2</f>
        <v>24</v>
      </c>
      <c r="O45" s="123">
        <f t="shared" si="23"/>
        <v>28.799999999999997</v>
      </c>
      <c r="P45" s="121">
        <f t="shared" si="23"/>
        <v>34.559999999999995</v>
      </c>
    </row>
    <row r="46" spans="2:16" ht="12.75" customHeight="1" x14ac:dyDescent="0.2">
      <c r="B46" s="125" t="s">
        <v>213</v>
      </c>
      <c r="C46" s="126"/>
      <c r="D46" s="133">
        <f t="shared" ref="D46:E46" si="24">IF(D34&lt;0,D34*D37,0)</f>
        <v>-231229.74</v>
      </c>
      <c r="E46" s="133">
        <f t="shared" si="24"/>
        <v>-274474.30036655773</v>
      </c>
      <c r="F46" s="133">
        <f>F38</f>
        <v>60362.073296020841</v>
      </c>
      <c r="G46" s="101">
        <f>-SUM(D46:E46)-F46</f>
        <v>445341.96707053686</v>
      </c>
      <c r="H46" s="103">
        <v>0</v>
      </c>
      <c r="J46" s="118" t="s">
        <v>214</v>
      </c>
      <c r="K46" s="127">
        <v>0</v>
      </c>
      <c r="L46" s="127">
        <v>0</v>
      </c>
      <c r="M46" s="127">
        <v>10</v>
      </c>
      <c r="N46" s="123">
        <f t="shared" ref="N46:P46" si="25">M46*1.2</f>
        <v>12</v>
      </c>
      <c r="O46" s="127">
        <f t="shared" si="25"/>
        <v>14.399999999999999</v>
      </c>
      <c r="P46" s="121">
        <f t="shared" si="25"/>
        <v>17.279999999999998</v>
      </c>
    </row>
    <row r="47" spans="2:16" ht="12.75" customHeight="1" x14ac:dyDescent="0.2">
      <c r="B47" s="125"/>
      <c r="C47" s="126"/>
      <c r="D47" s="126"/>
      <c r="E47" s="126"/>
      <c r="F47" s="126"/>
      <c r="G47" s="126"/>
      <c r="H47" s="126"/>
      <c r="J47" s="59" t="s">
        <v>236</v>
      </c>
      <c r="K47" s="128">
        <f t="shared" ref="K47" si="26">SUM(K42:K46)</f>
        <v>0</v>
      </c>
      <c r="L47" s="128">
        <f t="shared" ref="L47:P47" si="27">SUM(L42:L46)</f>
        <v>0</v>
      </c>
      <c r="M47" s="128">
        <f t="shared" ref="M47" si="28">SUM(M42:M46)</f>
        <v>170</v>
      </c>
      <c r="N47" s="128">
        <f t="shared" si="27"/>
        <v>204</v>
      </c>
      <c r="O47" s="128">
        <f t="shared" si="27"/>
        <v>244.79999999999998</v>
      </c>
      <c r="P47" s="128">
        <f t="shared" si="27"/>
        <v>293.75999999999993</v>
      </c>
    </row>
    <row r="48" spans="2:16" ht="12.75" customHeight="1" x14ac:dyDescent="0.2">
      <c r="B48" s="105" t="s">
        <v>215</v>
      </c>
      <c r="C48" s="106">
        <f t="shared" ref="C48:E48" si="29">C39-C44</f>
        <v>-104500</v>
      </c>
      <c r="D48" s="106">
        <f t="shared" si="29"/>
        <v>-660656.4</v>
      </c>
      <c r="E48" s="106">
        <f t="shared" si="29"/>
        <v>-784212.28676159354</v>
      </c>
      <c r="F48" s="106">
        <f t="shared" ref="F48:H48" si="30">F39-F44+F46</f>
        <v>172463.06656005955</v>
      </c>
      <c r="G48" s="106">
        <f t="shared" si="30"/>
        <v>1453278.2881910084</v>
      </c>
      <c r="H48" s="106">
        <f t="shared" si="30"/>
        <v>1712983.8344831234</v>
      </c>
      <c r="J48" s="179" t="s">
        <v>237</v>
      </c>
      <c r="K48" s="180">
        <f>K47*$K$35*12</f>
        <v>0</v>
      </c>
      <c r="L48" s="180">
        <f>L47*$K$35*12</f>
        <v>0</v>
      </c>
      <c r="M48" s="180">
        <f>M47*$K$35*12</f>
        <v>30600</v>
      </c>
      <c r="N48" s="180">
        <f t="shared" ref="N48:P48" si="31">N47*$K$35*12</f>
        <v>36720</v>
      </c>
      <c r="O48" s="180">
        <f t="shared" si="31"/>
        <v>44063.999999999993</v>
      </c>
      <c r="P48" s="180">
        <f t="shared" si="31"/>
        <v>52876.799999999988</v>
      </c>
    </row>
    <row r="49" spans="2:16" ht="12.75" customHeight="1" x14ac:dyDescent="0.2">
      <c r="B49" s="130" t="s">
        <v>216</v>
      </c>
      <c r="C49" s="131"/>
      <c r="D49" s="132">
        <f t="shared" ref="D49:H49" si="32">(D48-C48)/ABS(C48)</f>
        <v>-5.3220708133971293</v>
      </c>
      <c r="E49" s="109">
        <f t="shared" si="32"/>
        <v>-0.18701988925195231</v>
      </c>
      <c r="F49" s="109">
        <f t="shared" si="32"/>
        <v>1.2199188529323433</v>
      </c>
      <c r="G49" s="109">
        <f t="shared" si="32"/>
        <v>7.4266058651166924</v>
      </c>
      <c r="H49" s="109">
        <f t="shared" si="32"/>
        <v>0.17870324520941386</v>
      </c>
      <c r="J49" s="63"/>
      <c r="K49" s="10"/>
      <c r="L49" s="63"/>
      <c r="M49" s="10"/>
      <c r="N49" s="10"/>
      <c r="O49" s="10"/>
      <c r="P49" s="37"/>
    </row>
    <row r="50" spans="2:16" ht="12.75" customHeight="1" x14ac:dyDescent="0.2">
      <c r="B50" s="104" t="s">
        <v>217</v>
      </c>
      <c r="H50" s="101">
        <f>(H48-H46)*(1+K33)/(C1-K33)</f>
        <v>11737541.878072962</v>
      </c>
      <c r="J50" s="63"/>
      <c r="K50" s="10"/>
      <c r="L50" s="63"/>
      <c r="M50" s="10"/>
      <c r="N50" s="10"/>
      <c r="O50" s="10"/>
      <c r="P50" s="37"/>
    </row>
    <row r="51" spans="2:16" ht="12.75" customHeight="1" x14ac:dyDescent="0.2">
      <c r="B51" s="105" t="s">
        <v>218</v>
      </c>
      <c r="C51" s="106">
        <f t="shared" ref="C51:H51" si="33">C48+C50</f>
        <v>-104500</v>
      </c>
      <c r="D51" s="106">
        <f t="shared" si="33"/>
        <v>-660656.4</v>
      </c>
      <c r="E51" s="106">
        <f t="shared" si="33"/>
        <v>-784212.28676159354</v>
      </c>
      <c r="F51" s="106">
        <f t="shared" si="33"/>
        <v>172463.06656005955</v>
      </c>
      <c r="G51" s="106">
        <f t="shared" si="33"/>
        <v>1453278.2881910084</v>
      </c>
      <c r="H51" s="106">
        <f t="shared" si="33"/>
        <v>13450525.712556086</v>
      </c>
      <c r="J51" s="100"/>
      <c r="K51" s="10"/>
      <c r="L51" s="63"/>
      <c r="M51" s="10"/>
      <c r="N51" s="10"/>
      <c r="O51" s="10"/>
      <c r="P51" s="37"/>
    </row>
    <row r="52" spans="2:16" ht="6.95" customHeight="1" x14ac:dyDescent="0.2">
      <c r="B52" s="104"/>
      <c r="J52" s="63"/>
      <c r="K52" s="10"/>
      <c r="L52" s="63"/>
      <c r="M52" s="10"/>
      <c r="N52" s="10"/>
      <c r="O52" s="10"/>
      <c r="P52" s="37"/>
    </row>
    <row r="53" spans="2:16" ht="12.75" customHeight="1" x14ac:dyDescent="0.2">
      <c r="B53" s="134" t="s">
        <v>219</v>
      </c>
      <c r="C53" s="135">
        <f t="shared" ref="C53:H53" si="34">IF(C51&lt;0,-C51,0)</f>
        <v>104500</v>
      </c>
      <c r="D53" s="135">
        <f t="shared" si="34"/>
        <v>660656.4</v>
      </c>
      <c r="E53" s="135">
        <f t="shared" si="34"/>
        <v>784212.28676159354</v>
      </c>
      <c r="F53" s="135">
        <f t="shared" si="34"/>
        <v>0</v>
      </c>
      <c r="G53" s="135">
        <f t="shared" si="34"/>
        <v>0</v>
      </c>
      <c r="H53" s="136">
        <f t="shared" si="34"/>
        <v>0</v>
      </c>
      <c r="J53" s="10"/>
      <c r="K53" s="10"/>
      <c r="L53" s="10"/>
      <c r="M53" s="10"/>
      <c r="N53" s="10"/>
      <c r="O53" s="10"/>
      <c r="P53" s="37"/>
    </row>
    <row r="54" spans="2:16" ht="12.75" customHeight="1" x14ac:dyDescent="0.2">
      <c r="B54" s="137" t="s">
        <v>220</v>
      </c>
      <c r="C54" s="138">
        <v>50000</v>
      </c>
      <c r="D54" s="138">
        <v>0</v>
      </c>
      <c r="E54" s="138">
        <v>0</v>
      </c>
      <c r="F54" s="138">
        <v>0</v>
      </c>
      <c r="G54" s="138">
        <v>0</v>
      </c>
      <c r="H54" s="139">
        <v>0</v>
      </c>
      <c r="J54" s="10"/>
      <c r="K54" s="10"/>
      <c r="L54" s="10"/>
      <c r="M54" s="10"/>
      <c r="N54" s="10"/>
      <c r="O54" s="10"/>
      <c r="P54" s="37"/>
    </row>
    <row r="55" spans="2:16" ht="12.75" customHeight="1" x14ac:dyDescent="0.2">
      <c r="B55" s="140" t="s">
        <v>221</v>
      </c>
      <c r="C55" s="138">
        <f t="shared" ref="C55:H55" si="35">C53-C54</f>
        <v>54500</v>
      </c>
      <c r="D55" s="138">
        <f t="shared" si="35"/>
        <v>660656.4</v>
      </c>
      <c r="E55" s="138">
        <f t="shared" si="35"/>
        <v>784212.28676159354</v>
      </c>
      <c r="F55" s="138">
        <f t="shared" si="35"/>
        <v>0</v>
      </c>
      <c r="G55" s="138">
        <f t="shared" si="35"/>
        <v>0</v>
      </c>
      <c r="H55" s="139">
        <f t="shared" si="35"/>
        <v>0</v>
      </c>
      <c r="J55" s="10"/>
      <c r="K55" s="10"/>
      <c r="L55" s="10"/>
      <c r="M55" s="10"/>
      <c r="N55" s="10"/>
      <c r="O55" s="10"/>
      <c r="P55" s="37"/>
    </row>
    <row r="56" spans="2:16" ht="12.75" customHeight="1" x14ac:dyDescent="0.2">
      <c r="B56" s="141" t="s">
        <v>222</v>
      </c>
      <c r="C56" s="142">
        <f>C55</f>
        <v>54500</v>
      </c>
      <c r="D56" s="142">
        <f t="shared" ref="D56:H56" si="36">C56*(1+$C$58)+D55</f>
        <v>736956.4</v>
      </c>
      <c r="E56" s="142">
        <f t="shared" si="36"/>
        <v>1815951.2467615935</v>
      </c>
      <c r="F56" s="142">
        <f t="shared" si="36"/>
        <v>2542331.7454662309</v>
      </c>
      <c r="G56" s="142">
        <f t="shared" si="36"/>
        <v>3559264.443652723</v>
      </c>
      <c r="H56" s="143">
        <f t="shared" si="36"/>
        <v>4982970.2211138122</v>
      </c>
      <c r="J56" s="10"/>
      <c r="K56" s="10"/>
      <c r="L56" s="10"/>
      <c r="M56" s="10"/>
      <c r="N56" s="10"/>
      <c r="O56" s="10"/>
      <c r="P56" s="37"/>
    </row>
    <row r="57" spans="2:16" ht="6.95" customHeight="1" x14ac:dyDescent="0.2">
      <c r="B57" s="104"/>
      <c r="C57" s="101"/>
      <c r="D57" s="101"/>
      <c r="E57" s="101"/>
      <c r="F57" s="101"/>
      <c r="G57" s="101"/>
      <c r="H57" s="101"/>
      <c r="J57" s="10"/>
      <c r="K57" s="10"/>
      <c r="L57" s="10"/>
      <c r="M57" s="10"/>
      <c r="N57" s="10"/>
      <c r="O57" s="10"/>
      <c r="P57" s="37"/>
    </row>
    <row r="58" spans="2:16" ht="12.75" customHeight="1" x14ac:dyDescent="0.2">
      <c r="B58" s="134" t="s">
        <v>223</v>
      </c>
      <c r="C58" s="144">
        <v>0.4</v>
      </c>
      <c r="D58" s="116"/>
      <c r="E58" s="116"/>
      <c r="F58" s="116"/>
      <c r="G58" s="116"/>
      <c r="H58" s="116"/>
      <c r="J58" s="10"/>
      <c r="K58" s="10"/>
      <c r="L58" s="10"/>
      <c r="M58" s="10"/>
      <c r="N58" s="10"/>
      <c r="O58" s="10"/>
      <c r="P58" s="37"/>
    </row>
    <row r="59" spans="2:16" ht="12.75" customHeight="1" x14ac:dyDescent="0.2">
      <c r="B59" s="141" t="s">
        <v>73</v>
      </c>
      <c r="C59" s="145">
        <f>H56/H51</f>
        <v>0.37046657711394892</v>
      </c>
      <c r="D59" s="96"/>
      <c r="E59" s="96"/>
      <c r="F59" s="96"/>
      <c r="G59" s="96"/>
      <c r="J59" s="10"/>
      <c r="K59" s="10"/>
      <c r="L59" s="10"/>
      <c r="M59" s="10"/>
      <c r="N59" s="10"/>
      <c r="O59" s="10"/>
      <c r="P59" s="37"/>
    </row>
    <row r="60" spans="2:16" ht="6.95" customHeight="1" x14ac:dyDescent="0.2">
      <c r="B60" s="146"/>
      <c r="C60" s="147"/>
      <c r="D60" s="96"/>
      <c r="E60" s="96"/>
      <c r="F60" s="96"/>
      <c r="G60" s="96"/>
      <c r="J60" s="10"/>
      <c r="K60" s="10"/>
      <c r="L60" s="10"/>
      <c r="M60" s="10"/>
      <c r="N60" s="10"/>
      <c r="O60" s="10"/>
      <c r="P60" s="37"/>
    </row>
    <row r="61" spans="2:16" ht="12.75" customHeight="1" x14ac:dyDescent="0.2">
      <c r="B61" s="134" t="s">
        <v>2</v>
      </c>
      <c r="C61" s="148">
        <f t="shared" ref="C61:C62" si="37">C1</f>
        <v>0.15740000000000001</v>
      </c>
      <c r="D61" s="63"/>
      <c r="E61" s="63"/>
      <c r="F61" s="63"/>
      <c r="G61" s="63"/>
      <c r="H61" s="63"/>
      <c r="J61" s="10"/>
      <c r="K61" s="10"/>
      <c r="L61" s="10"/>
      <c r="M61" s="10"/>
      <c r="N61" s="10"/>
      <c r="O61" s="10"/>
      <c r="P61" s="37"/>
    </row>
    <row r="62" spans="2:16" ht="12.75" customHeight="1" x14ac:dyDescent="0.2">
      <c r="B62" s="141" t="s">
        <v>57</v>
      </c>
      <c r="C62" s="143">
        <f t="shared" si="37"/>
        <v>6136599.7560194973</v>
      </c>
      <c r="D62" s="133"/>
      <c r="E62" s="133"/>
      <c r="F62" s="133"/>
      <c r="G62" s="133"/>
      <c r="H62" s="133"/>
      <c r="J62" s="10"/>
      <c r="K62" s="10"/>
      <c r="L62" s="10"/>
      <c r="M62" s="10"/>
      <c r="N62" s="10"/>
      <c r="O62" s="10"/>
      <c r="P62" s="37"/>
    </row>
    <row r="63" spans="2:16" ht="12.75" customHeight="1" x14ac:dyDescent="0.2">
      <c r="B63" s="6"/>
      <c r="D63" s="42"/>
      <c r="E63" s="42"/>
      <c r="F63" s="42"/>
      <c r="G63" s="42"/>
      <c r="H63" s="42"/>
      <c r="J63" s="10"/>
      <c r="K63" s="10"/>
      <c r="L63" s="10"/>
      <c r="M63" s="10"/>
      <c r="N63" s="10"/>
      <c r="O63" s="10"/>
      <c r="P63" s="37"/>
    </row>
    <row r="64" spans="2:16" ht="12.75" customHeight="1" x14ac:dyDescent="0.2">
      <c r="D64" s="10"/>
      <c r="E64" s="10"/>
      <c r="F64" s="10"/>
      <c r="G64" s="10"/>
      <c r="H64" s="10"/>
      <c r="J64" s="10"/>
      <c r="K64" s="10"/>
      <c r="L64" s="10"/>
      <c r="M64" s="10"/>
      <c r="N64" s="10"/>
      <c r="O64" s="10"/>
      <c r="P64" s="37"/>
    </row>
    <row r="65" spans="4:16" ht="12.75" customHeight="1" x14ac:dyDescent="0.2">
      <c r="D65" s="10"/>
      <c r="E65" s="10"/>
      <c r="F65" s="10"/>
      <c r="G65" s="10"/>
      <c r="H65" s="10"/>
      <c r="J65" s="10"/>
      <c r="K65" s="10"/>
      <c r="L65" s="10"/>
      <c r="M65" s="10"/>
      <c r="N65" s="10"/>
      <c r="O65" s="10"/>
      <c r="P65" s="37"/>
    </row>
  </sheetData>
  <mergeCells count="1">
    <mergeCell ref="E3:H3"/>
  </mergeCells>
  <pageMargins left="0.7" right="0.7" top="0.75" bottom="0.75" header="0.3" footer="0.3"/>
  <pageSetup paperSize="9" scale="37" orientation="portrait" r:id="rId1"/>
  <ignoredErrors>
    <ignoredError sqref="D23:H3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showGridLines="0" workbookViewId="0"/>
  </sheetViews>
  <sheetFormatPr defaultColWidth="17.28515625" defaultRowHeight="15" customHeight="1" x14ac:dyDescent="0.2"/>
  <cols>
    <col min="1" max="1" width="34.85546875" customWidth="1"/>
    <col min="2" max="2" width="24" customWidth="1"/>
    <col min="3" max="3" width="16.5703125" customWidth="1"/>
    <col min="4" max="4" width="12.85546875" customWidth="1"/>
    <col min="5" max="5" width="16" customWidth="1"/>
    <col min="6" max="6" width="15.85546875" customWidth="1"/>
    <col min="7" max="7" width="16.85546875" customWidth="1"/>
    <col min="8" max="8" width="14.28515625" customWidth="1"/>
    <col min="9" max="9" width="14.7109375" customWidth="1"/>
    <col min="10" max="20" width="14.140625" customWidth="1"/>
  </cols>
  <sheetData>
    <row r="1" spans="1:9" ht="23.25" customHeight="1" x14ac:dyDescent="0.35">
      <c r="A1" s="5" t="s">
        <v>5</v>
      </c>
      <c r="B1" s="7"/>
      <c r="C1" s="7"/>
      <c r="D1" s="7"/>
      <c r="E1" s="7"/>
      <c r="F1" s="7"/>
      <c r="G1" s="7"/>
      <c r="H1" s="7"/>
      <c r="I1" s="7"/>
    </row>
    <row r="2" spans="1:9" ht="15.75" customHeight="1" x14ac:dyDescent="0.25">
      <c r="A2" s="7"/>
      <c r="B2" s="7"/>
      <c r="C2" s="7"/>
      <c r="D2" s="7"/>
      <c r="E2" s="7"/>
      <c r="F2" s="7"/>
      <c r="G2" s="7"/>
      <c r="H2" s="7"/>
      <c r="I2" s="7"/>
    </row>
    <row r="3" spans="1:9" ht="20.25" customHeight="1" x14ac:dyDescent="0.3">
      <c r="A3" s="23" t="s">
        <v>7</v>
      </c>
      <c r="B3" s="23"/>
      <c r="C3" s="7"/>
      <c r="D3" s="7"/>
      <c r="E3" s="7"/>
      <c r="F3" s="7"/>
      <c r="G3" s="7"/>
      <c r="H3" s="7"/>
      <c r="I3" s="7"/>
    </row>
    <row r="4" spans="1:9" ht="16.5" customHeight="1" x14ac:dyDescent="0.25">
      <c r="A4" s="7"/>
      <c r="B4" s="7"/>
      <c r="C4" s="7"/>
      <c r="D4" s="7"/>
      <c r="E4" s="7"/>
      <c r="F4" s="7"/>
      <c r="G4" s="7"/>
      <c r="H4" s="7"/>
      <c r="I4" s="7"/>
    </row>
    <row r="5" spans="1:9" ht="15.75" customHeight="1" x14ac:dyDescent="0.25">
      <c r="A5" s="7" t="s">
        <v>29</v>
      </c>
      <c r="B5" s="25">
        <v>70000</v>
      </c>
      <c r="C5" s="7"/>
      <c r="D5" s="7"/>
      <c r="E5" s="7"/>
      <c r="F5" s="7"/>
      <c r="G5" s="7"/>
      <c r="H5" s="7"/>
      <c r="I5" s="7"/>
    </row>
    <row r="6" spans="1:9" ht="15.75" customHeight="1" x14ac:dyDescent="0.25">
      <c r="A6" s="7"/>
      <c r="B6" s="7"/>
      <c r="C6" s="7"/>
      <c r="D6" s="7"/>
      <c r="E6" s="7"/>
      <c r="F6" s="7"/>
      <c r="G6" s="7"/>
      <c r="H6" s="7"/>
      <c r="I6" s="7"/>
    </row>
    <row r="7" spans="1:9" ht="15.75" customHeight="1" x14ac:dyDescent="0.25">
      <c r="A7" s="7" t="s">
        <v>33</v>
      </c>
      <c r="B7" s="7"/>
      <c r="C7" s="7"/>
      <c r="D7" s="7"/>
      <c r="E7" s="7"/>
      <c r="F7" s="7"/>
      <c r="G7" s="7"/>
      <c r="H7" s="7"/>
      <c r="I7" s="7"/>
    </row>
    <row r="8" spans="1:9" ht="15.75" customHeight="1" x14ac:dyDescent="0.25">
      <c r="A8" s="7" t="s">
        <v>34</v>
      </c>
      <c r="B8" s="25">
        <v>1000</v>
      </c>
      <c r="C8" s="7"/>
      <c r="D8" s="7"/>
      <c r="E8" s="7"/>
      <c r="F8" s="7"/>
      <c r="G8" s="7"/>
      <c r="H8" s="7"/>
      <c r="I8" s="7"/>
    </row>
    <row r="9" spans="1:9" ht="15.75" customHeight="1" x14ac:dyDescent="0.25">
      <c r="A9" s="7" t="s">
        <v>35</v>
      </c>
      <c r="B9" s="26">
        <v>0.25</v>
      </c>
      <c r="C9" s="7"/>
      <c r="D9" s="7"/>
      <c r="E9" s="7"/>
      <c r="F9" s="7"/>
      <c r="G9" s="7"/>
      <c r="H9" s="7"/>
      <c r="I9" s="7"/>
    </row>
    <row r="10" spans="1:9" ht="15.75" customHeight="1" x14ac:dyDescent="0.25">
      <c r="A10" s="7" t="s">
        <v>36</v>
      </c>
      <c r="B10" s="27">
        <f>B8*B9</f>
        <v>250</v>
      </c>
      <c r="C10" s="7"/>
      <c r="D10" s="7"/>
      <c r="E10" s="7"/>
      <c r="F10" s="7"/>
      <c r="G10" s="7"/>
      <c r="H10" s="7"/>
      <c r="I10" s="7"/>
    </row>
    <row r="11" spans="1:9" ht="15.75" customHeight="1" x14ac:dyDescent="0.25">
      <c r="A11" s="7"/>
      <c r="B11" s="7"/>
      <c r="C11" s="7"/>
      <c r="D11" s="7"/>
      <c r="E11" s="7"/>
      <c r="F11" s="7"/>
      <c r="G11" s="7"/>
      <c r="H11" s="7"/>
      <c r="I11" s="7"/>
    </row>
    <row r="12" spans="1:9" ht="15.75" customHeight="1" x14ac:dyDescent="0.25">
      <c r="A12" s="7" t="s">
        <v>37</v>
      </c>
      <c r="B12" s="7"/>
      <c r="C12" s="7"/>
      <c r="D12" s="7"/>
      <c r="E12" s="7"/>
      <c r="F12" s="7"/>
      <c r="G12" s="7"/>
      <c r="H12" s="7"/>
      <c r="I12" s="7"/>
    </row>
    <row r="13" spans="1:9" ht="15.75" customHeight="1" x14ac:dyDescent="0.25">
      <c r="A13" s="7" t="s">
        <v>38</v>
      </c>
      <c r="B13" s="25">
        <v>3000</v>
      </c>
      <c r="C13" s="7"/>
      <c r="D13" s="7"/>
      <c r="E13" s="7"/>
      <c r="F13" s="7"/>
      <c r="G13" s="7"/>
      <c r="H13" s="7"/>
      <c r="I13" s="7"/>
    </row>
    <row r="14" spans="1:9" ht="15.75" customHeight="1" x14ac:dyDescent="0.25">
      <c r="A14" s="7" t="s">
        <v>35</v>
      </c>
      <c r="B14" s="26">
        <v>0.25</v>
      </c>
      <c r="C14" s="7"/>
      <c r="D14" s="7"/>
      <c r="E14" s="7"/>
      <c r="F14" s="7"/>
      <c r="G14" s="7"/>
      <c r="H14" s="7"/>
      <c r="I14" s="7"/>
    </row>
    <row r="15" spans="1:9" ht="15.75" customHeight="1" x14ac:dyDescent="0.25">
      <c r="A15" s="7" t="s">
        <v>40</v>
      </c>
      <c r="B15" s="27">
        <f>B13*B14</f>
        <v>750</v>
      </c>
      <c r="C15" s="7"/>
      <c r="D15" s="7"/>
      <c r="E15" s="7"/>
      <c r="F15" s="7"/>
      <c r="G15" s="7"/>
      <c r="H15" s="7"/>
      <c r="I15" s="7"/>
    </row>
    <row r="16" spans="1:9" ht="15.75" customHeight="1" x14ac:dyDescent="0.25">
      <c r="A16" s="7"/>
      <c r="B16" s="7"/>
      <c r="C16" s="7"/>
      <c r="D16" s="7"/>
      <c r="E16" s="7"/>
      <c r="F16" s="7"/>
      <c r="G16" s="7"/>
      <c r="H16" s="7"/>
      <c r="I16" s="7"/>
    </row>
    <row r="17" spans="1:9" ht="15.75" customHeight="1" x14ac:dyDescent="0.25">
      <c r="A17" s="7" t="s">
        <v>42</v>
      </c>
      <c r="B17" s="7"/>
      <c r="C17" s="7"/>
      <c r="D17" s="7"/>
      <c r="E17" s="7"/>
      <c r="F17" s="7"/>
      <c r="G17" s="7"/>
      <c r="H17" s="7"/>
      <c r="I17" s="7"/>
    </row>
    <row r="18" spans="1:9" ht="15.75" customHeight="1" x14ac:dyDescent="0.25">
      <c r="A18" s="7" t="s">
        <v>43</v>
      </c>
      <c r="B18" s="31">
        <v>0.5</v>
      </c>
      <c r="C18" s="7"/>
      <c r="D18" s="7"/>
      <c r="E18" s="7"/>
      <c r="F18" s="7"/>
      <c r="G18" s="7"/>
      <c r="H18" s="7"/>
      <c r="I18" s="7"/>
    </row>
    <row r="19" spans="1:9" ht="15.75" customHeight="1" x14ac:dyDescent="0.25">
      <c r="A19" s="7" t="s">
        <v>46</v>
      </c>
      <c r="B19" s="31">
        <v>0.3</v>
      </c>
      <c r="C19" s="7"/>
      <c r="D19" s="7"/>
      <c r="E19" s="7"/>
      <c r="F19" s="7"/>
      <c r="G19" s="7"/>
      <c r="H19" s="7"/>
      <c r="I19" s="7"/>
    </row>
    <row r="20" spans="1:9" ht="15.75" customHeight="1" x14ac:dyDescent="0.25">
      <c r="A20" s="32" t="s">
        <v>47</v>
      </c>
      <c r="B20" s="34">
        <f t="shared" ref="B20:B24" si="0">B19*$B$18</f>
        <v>0.15</v>
      </c>
      <c r="C20" s="7"/>
      <c r="D20" s="7"/>
      <c r="E20" s="7"/>
      <c r="F20" s="7"/>
      <c r="G20" s="7"/>
      <c r="H20" s="7"/>
      <c r="I20" s="7"/>
    </row>
    <row r="21" spans="1:9" ht="15.75" customHeight="1" x14ac:dyDescent="0.25">
      <c r="A21" s="7" t="s">
        <v>50</v>
      </c>
      <c r="B21" s="34">
        <f t="shared" si="0"/>
        <v>7.4999999999999997E-2</v>
      </c>
      <c r="C21" s="7"/>
      <c r="D21" s="7"/>
      <c r="E21" s="7"/>
      <c r="F21" s="7"/>
      <c r="G21" s="7"/>
      <c r="H21" s="7"/>
      <c r="I21" s="7"/>
    </row>
    <row r="22" spans="1:9" ht="15.75" customHeight="1" x14ac:dyDescent="0.25">
      <c r="A22" s="32" t="s">
        <v>51</v>
      </c>
      <c r="B22" s="34">
        <f t="shared" si="0"/>
        <v>3.7499999999999999E-2</v>
      </c>
      <c r="C22" s="7"/>
      <c r="D22" s="7"/>
      <c r="E22" s="7"/>
      <c r="F22" s="7"/>
      <c r="G22" s="7"/>
      <c r="H22" s="7"/>
      <c r="I22" s="7"/>
    </row>
    <row r="23" spans="1:9" ht="15.75" customHeight="1" x14ac:dyDescent="0.25">
      <c r="A23" s="7" t="s">
        <v>52</v>
      </c>
      <c r="B23" s="34">
        <f t="shared" si="0"/>
        <v>1.8749999999999999E-2</v>
      </c>
      <c r="C23" s="7"/>
      <c r="D23" s="7"/>
      <c r="E23" s="7"/>
      <c r="F23" s="7"/>
      <c r="G23" s="7"/>
      <c r="H23" s="7"/>
      <c r="I23" s="7"/>
    </row>
    <row r="24" spans="1:9" ht="15.75" customHeight="1" x14ac:dyDescent="0.25">
      <c r="A24" s="32" t="s">
        <v>53</v>
      </c>
      <c r="B24" s="34">
        <f t="shared" si="0"/>
        <v>9.3749999999999997E-3</v>
      </c>
      <c r="C24" s="7"/>
      <c r="D24" s="7"/>
      <c r="E24" s="7"/>
      <c r="F24" s="7"/>
      <c r="G24" s="7"/>
      <c r="H24" s="7"/>
      <c r="I24" s="7"/>
    </row>
    <row r="25" spans="1:9" ht="15.75" customHeight="1" x14ac:dyDescent="0.25">
      <c r="A25" s="32" t="s">
        <v>54</v>
      </c>
      <c r="B25" s="36">
        <f>SUM(B19:B24)</f>
        <v>0.59062499999999996</v>
      </c>
      <c r="C25" s="7"/>
      <c r="D25" s="7"/>
      <c r="E25" s="7"/>
      <c r="F25" s="7"/>
      <c r="G25" s="7"/>
      <c r="H25" s="7"/>
      <c r="I25" s="7"/>
    </row>
    <row r="26" spans="1:9" ht="15.75" customHeight="1" x14ac:dyDescent="0.25">
      <c r="A26" s="32"/>
      <c r="B26" s="41"/>
      <c r="C26" s="7"/>
      <c r="D26" s="7"/>
      <c r="E26" s="7"/>
      <c r="F26" s="7"/>
      <c r="G26" s="7"/>
      <c r="H26" s="7"/>
      <c r="I26" s="7"/>
    </row>
    <row r="27" spans="1:9" ht="15.75" customHeight="1" x14ac:dyDescent="0.25">
      <c r="A27" s="32" t="s">
        <v>58</v>
      </c>
      <c r="B27" s="7"/>
      <c r="C27" s="7"/>
      <c r="D27" s="7"/>
      <c r="E27" s="7"/>
      <c r="F27" s="7"/>
      <c r="G27" s="7"/>
      <c r="H27" s="7"/>
      <c r="I27" s="7"/>
    </row>
    <row r="28" spans="1:9" ht="15.75" customHeight="1" x14ac:dyDescent="0.25">
      <c r="A28" s="32" t="s">
        <v>59</v>
      </c>
      <c r="B28" s="26">
        <v>0.8</v>
      </c>
      <c r="C28" s="7"/>
      <c r="D28" s="7"/>
      <c r="E28" s="7"/>
      <c r="F28" s="7"/>
      <c r="G28" s="7"/>
      <c r="H28" s="7"/>
      <c r="I28" s="7"/>
    </row>
    <row r="29" spans="1:9" ht="15.75" customHeight="1" x14ac:dyDescent="0.25">
      <c r="A29" s="32" t="s">
        <v>60</v>
      </c>
      <c r="B29" s="26">
        <v>0.7</v>
      </c>
      <c r="C29" s="7"/>
      <c r="D29" s="7"/>
      <c r="E29" s="7"/>
      <c r="F29" s="7"/>
      <c r="G29" s="7"/>
      <c r="H29" s="7"/>
      <c r="I29" s="7"/>
    </row>
    <row r="30" spans="1:9" ht="15.75" customHeight="1" x14ac:dyDescent="0.25">
      <c r="A30" s="32" t="s">
        <v>61</v>
      </c>
      <c r="B30" s="46">
        <f t="shared" ref="B30:B32" si="1">(ROW()-ROW(B$29))/(ROW(B$33)-ROW(B$29))*(B$33-B$29)+B$29</f>
        <v>0.67499999999999993</v>
      </c>
      <c r="C30" s="7"/>
      <c r="D30" s="7"/>
      <c r="E30" s="7"/>
      <c r="F30" s="7"/>
      <c r="G30" s="7"/>
      <c r="H30" s="7"/>
      <c r="I30" s="7"/>
    </row>
    <row r="31" spans="1:9" ht="15.75" customHeight="1" x14ac:dyDescent="0.25">
      <c r="A31" s="32" t="s">
        <v>76</v>
      </c>
      <c r="B31" s="46">
        <f t="shared" si="1"/>
        <v>0.64999999999999991</v>
      </c>
      <c r="C31" s="7"/>
      <c r="D31" s="7"/>
      <c r="E31" s="7"/>
      <c r="F31" s="7"/>
      <c r="G31" s="7"/>
      <c r="H31" s="7"/>
      <c r="I31" s="7"/>
    </row>
    <row r="32" spans="1:9" ht="15.75" customHeight="1" x14ac:dyDescent="0.25">
      <c r="A32" s="32" t="s">
        <v>78</v>
      </c>
      <c r="B32" s="46">
        <f t="shared" si="1"/>
        <v>0.625</v>
      </c>
      <c r="C32" s="7"/>
      <c r="D32" s="7"/>
      <c r="E32" s="7"/>
      <c r="F32" s="7"/>
      <c r="G32" s="7"/>
      <c r="H32" s="7"/>
      <c r="I32" s="7"/>
    </row>
    <row r="33" spans="1:9" ht="15.75" customHeight="1" x14ac:dyDescent="0.25">
      <c r="A33" s="32" t="s">
        <v>79</v>
      </c>
      <c r="B33" s="26">
        <v>0.6</v>
      </c>
      <c r="C33" s="7"/>
      <c r="D33" s="7"/>
      <c r="E33" s="7"/>
      <c r="F33" s="7"/>
      <c r="G33" s="7"/>
      <c r="H33" s="7"/>
      <c r="I33" s="7"/>
    </row>
    <row r="34" spans="1:9" ht="15.75" customHeight="1" x14ac:dyDescent="0.25">
      <c r="A34" s="7"/>
      <c r="B34" s="7"/>
      <c r="C34" s="7"/>
      <c r="D34" s="7"/>
      <c r="E34" s="7"/>
      <c r="F34" s="7"/>
      <c r="G34" s="7"/>
      <c r="H34" s="7"/>
      <c r="I34" s="7"/>
    </row>
    <row r="35" spans="1:9" ht="15.75" customHeight="1" x14ac:dyDescent="0.25">
      <c r="A35" s="7"/>
      <c r="B35" s="7"/>
      <c r="C35" s="52"/>
      <c r="D35" s="52"/>
      <c r="E35" s="52"/>
      <c r="F35" s="52"/>
      <c r="G35" s="7"/>
      <c r="H35" s="53"/>
      <c r="I35" s="7"/>
    </row>
    <row r="36" spans="1:9" ht="20.25" customHeight="1" x14ac:dyDescent="0.3">
      <c r="A36" s="23" t="s">
        <v>81</v>
      </c>
      <c r="B36" s="23"/>
      <c r="C36" s="23"/>
      <c r="D36" s="23"/>
      <c r="E36" s="23"/>
      <c r="F36" s="23"/>
      <c r="G36" s="23"/>
      <c r="H36" s="23"/>
      <c r="I36" s="23"/>
    </row>
    <row r="37" spans="1:9" ht="16.5" customHeight="1" x14ac:dyDescent="0.25">
      <c r="A37" s="7"/>
      <c r="B37" s="7"/>
      <c r="C37" s="7"/>
      <c r="D37" s="7"/>
      <c r="E37" s="7"/>
      <c r="F37" s="7"/>
      <c r="G37" s="7"/>
      <c r="H37" s="7"/>
      <c r="I37" s="7"/>
    </row>
    <row r="38" spans="1:9" ht="18" customHeight="1" x14ac:dyDescent="0.3">
      <c r="A38" s="49" t="s">
        <v>82</v>
      </c>
      <c r="B38" s="50" t="s">
        <v>84</v>
      </c>
      <c r="C38" s="50" t="s">
        <v>29</v>
      </c>
      <c r="D38" s="50" t="s">
        <v>89</v>
      </c>
      <c r="E38" s="50" t="s">
        <v>90</v>
      </c>
      <c r="F38" s="50" t="s">
        <v>91</v>
      </c>
      <c r="G38" s="50" t="s">
        <v>92</v>
      </c>
      <c r="H38" s="50" t="s">
        <v>93</v>
      </c>
      <c r="I38" s="50" t="s">
        <v>94</v>
      </c>
    </row>
    <row r="39" spans="1:9" ht="16.5" customHeight="1" x14ac:dyDescent="0.25">
      <c r="A39" s="51">
        <v>-4</v>
      </c>
      <c r="B39" s="52"/>
      <c r="C39" s="52"/>
      <c r="D39" s="52"/>
      <c r="E39" s="52"/>
      <c r="F39" s="52"/>
      <c r="G39" s="52"/>
      <c r="H39" s="52"/>
      <c r="I39" s="52"/>
    </row>
    <row r="40" spans="1:9" ht="15.75" customHeight="1" x14ac:dyDescent="0.25">
      <c r="A40" s="51">
        <v>-3</v>
      </c>
      <c r="B40" s="52"/>
      <c r="C40" s="52"/>
      <c r="D40" s="52"/>
      <c r="E40" s="52"/>
      <c r="F40" s="52"/>
      <c r="G40" s="52"/>
      <c r="H40" s="52"/>
      <c r="I40" s="52"/>
    </row>
    <row r="41" spans="1:9" ht="15.75" customHeight="1" x14ac:dyDescent="0.25">
      <c r="A41" s="51">
        <v>-2</v>
      </c>
      <c r="B41" s="52"/>
      <c r="G41" s="52"/>
      <c r="H41" s="52"/>
      <c r="I41" s="52"/>
    </row>
    <row r="42" spans="1:9" ht="15.75" customHeight="1" x14ac:dyDescent="0.25">
      <c r="A42" s="51">
        <v>-1</v>
      </c>
      <c r="B42" s="52"/>
      <c r="C42" s="52"/>
      <c r="D42" s="52"/>
      <c r="E42" s="52"/>
      <c r="F42" s="52"/>
      <c r="G42" s="52"/>
      <c r="H42" s="52"/>
      <c r="I42" s="52"/>
    </row>
    <row r="43" spans="1:9" ht="15.75" customHeight="1" x14ac:dyDescent="0.25">
      <c r="A43" s="51">
        <v>0</v>
      </c>
      <c r="B43" s="52"/>
      <c r="C43" s="52"/>
      <c r="D43" s="52"/>
      <c r="E43" s="52"/>
      <c r="F43" s="52"/>
      <c r="G43" s="52"/>
      <c r="H43" s="52"/>
      <c r="I43" s="52"/>
    </row>
    <row r="44" spans="1:9" ht="15.75" customHeight="1" x14ac:dyDescent="0.25">
      <c r="A44" s="51">
        <v>1</v>
      </c>
      <c r="B44" s="52">
        <v>0</v>
      </c>
      <c r="C44" s="52">
        <f>71000+73000</f>
        <v>144000</v>
      </c>
      <c r="D44" s="52">
        <v>250</v>
      </c>
      <c r="E44" s="52">
        <v>750</v>
      </c>
      <c r="F44" s="52"/>
      <c r="G44" s="52">
        <f t="shared" ref="G44:G91" si="2">SUM(C44:F44)</f>
        <v>145000</v>
      </c>
      <c r="H44" s="52">
        <f t="shared" ref="H44:H91" si="3">-(G44*(1-$B$28)+G43*($B$28-$B$29)+G42*($B$29-$B$30)+G41*($B$30-$B$31)+G40*($B$31-$B$32)+G39*($B$32-$B$33))</f>
        <v>-28999.999999999993</v>
      </c>
      <c r="I44" s="52">
        <f t="shared" ref="I44:I91" si="4">SUM(G44:H44)</f>
        <v>116000</v>
      </c>
    </row>
    <row r="45" spans="1:9" ht="15.75" customHeight="1" x14ac:dyDescent="0.25">
      <c r="A45" s="51">
        <v>2</v>
      </c>
      <c r="B45" s="52">
        <f t="shared" ref="B45:B91" si="5">B44+I44</f>
        <v>116000</v>
      </c>
      <c r="C45" s="52">
        <v>0</v>
      </c>
      <c r="D45" s="52">
        <f t="shared" ref="D45:E45" si="6">D44</f>
        <v>250</v>
      </c>
      <c r="E45" s="52">
        <f t="shared" si="6"/>
        <v>750</v>
      </c>
      <c r="F45" s="52">
        <f t="shared" ref="F45:F91" si="7">G44*$B$28*$B$19+G43*$B$29*$B$20+G42*$B$30*$B$21+G41*$B$31*$B$22+G40*$B$32*$B$23+G39*$B$33*$B$24</f>
        <v>34800</v>
      </c>
      <c r="G45" s="52">
        <f t="shared" si="2"/>
        <v>35800</v>
      </c>
      <c r="H45" s="52">
        <f t="shared" si="3"/>
        <v>-21660.000000000011</v>
      </c>
      <c r="I45" s="52">
        <f t="shared" si="4"/>
        <v>14139.999999999989</v>
      </c>
    </row>
    <row r="46" spans="1:9" ht="15.75" customHeight="1" x14ac:dyDescent="0.25">
      <c r="A46" s="51">
        <v>3</v>
      </c>
      <c r="B46" s="52">
        <f t="shared" si="5"/>
        <v>130139.99999999999</v>
      </c>
      <c r="C46" s="52">
        <v>0</v>
      </c>
      <c r="D46" s="52">
        <f t="shared" ref="D46:E46" si="8">D45</f>
        <v>250</v>
      </c>
      <c r="E46" s="52">
        <f t="shared" si="8"/>
        <v>750</v>
      </c>
      <c r="F46" s="52">
        <f t="shared" si="7"/>
        <v>23817</v>
      </c>
      <c r="G46" s="52">
        <f t="shared" si="2"/>
        <v>24817</v>
      </c>
      <c r="H46" s="52">
        <f t="shared" si="3"/>
        <v>-12168.400000000005</v>
      </c>
      <c r="I46" s="52">
        <f t="shared" si="4"/>
        <v>12648.599999999995</v>
      </c>
    </row>
    <row r="47" spans="1:9" ht="15.75" customHeight="1" x14ac:dyDescent="0.25">
      <c r="A47" s="51">
        <v>4</v>
      </c>
      <c r="B47" s="52">
        <f t="shared" si="5"/>
        <v>142788.59999999998</v>
      </c>
      <c r="C47" s="52">
        <v>0</v>
      </c>
      <c r="D47" s="52">
        <f t="shared" ref="D47:E47" si="9">D46</f>
        <v>250</v>
      </c>
      <c r="E47" s="52">
        <f t="shared" si="9"/>
        <v>750</v>
      </c>
      <c r="F47" s="52">
        <f t="shared" si="7"/>
        <v>17055.705000000002</v>
      </c>
      <c r="G47" s="52">
        <f t="shared" si="2"/>
        <v>18055.705000000002</v>
      </c>
      <c r="H47" s="52">
        <f t="shared" si="3"/>
        <v>-10612.841000000006</v>
      </c>
      <c r="I47" s="52">
        <f t="shared" si="4"/>
        <v>7442.8639999999959</v>
      </c>
    </row>
    <row r="48" spans="1:9" ht="15.75" customHeight="1" x14ac:dyDescent="0.25">
      <c r="A48" s="51">
        <v>5</v>
      </c>
      <c r="B48" s="52">
        <f t="shared" si="5"/>
        <v>150231.46399999998</v>
      </c>
      <c r="C48" s="52">
        <v>0</v>
      </c>
      <c r="D48" s="52">
        <f t="shared" ref="D48:E48" si="10">D47</f>
        <v>250</v>
      </c>
      <c r="E48" s="52">
        <f t="shared" si="10"/>
        <v>750</v>
      </c>
      <c r="F48" s="52">
        <f t="shared" si="7"/>
        <v>12285.904199999999</v>
      </c>
      <c r="G48" s="52">
        <f t="shared" si="2"/>
        <v>13285.904199999999</v>
      </c>
      <c r="H48" s="52">
        <f t="shared" si="3"/>
        <v>-9603.1763399999891</v>
      </c>
      <c r="I48" s="52">
        <f t="shared" si="4"/>
        <v>3682.72786000001</v>
      </c>
    </row>
    <row r="49" spans="1:9" ht="15.75" customHeight="1" x14ac:dyDescent="0.25">
      <c r="A49" s="51">
        <v>6</v>
      </c>
      <c r="B49" s="52">
        <f t="shared" si="5"/>
        <v>153914.19185999999</v>
      </c>
      <c r="C49" s="52">
        <v>0</v>
      </c>
      <c r="D49" s="52">
        <f t="shared" ref="D49:E49" si="11">D48</f>
        <v>250</v>
      </c>
      <c r="E49" s="52">
        <f t="shared" si="11"/>
        <v>750</v>
      </c>
      <c r="F49" s="52">
        <f t="shared" si="7"/>
        <v>8912.670408</v>
      </c>
      <c r="G49" s="52">
        <f t="shared" si="2"/>
        <v>9912.670408</v>
      </c>
      <c r="H49" s="52">
        <f t="shared" si="3"/>
        <v>-8902.9421266000027</v>
      </c>
      <c r="I49" s="52">
        <f t="shared" si="4"/>
        <v>1009.7282813999973</v>
      </c>
    </row>
    <row r="50" spans="1:9" ht="15.75" customHeight="1" x14ac:dyDescent="0.25">
      <c r="A50" s="51">
        <v>7</v>
      </c>
      <c r="B50" s="52">
        <f t="shared" si="5"/>
        <v>154923.92014139998</v>
      </c>
      <c r="C50" s="52">
        <v>0</v>
      </c>
      <c r="D50" s="52">
        <f t="shared" ref="D50:E50" si="12">D49</f>
        <v>250</v>
      </c>
      <c r="E50" s="52">
        <f t="shared" si="12"/>
        <v>750</v>
      </c>
      <c r="F50" s="52">
        <f t="shared" si="7"/>
        <v>6528.2015295450001</v>
      </c>
      <c r="G50" s="52">
        <f t="shared" si="2"/>
        <v>7528.2015295450001</v>
      </c>
      <c r="H50" s="52">
        <f t="shared" si="3"/>
        <v>-4795.872576709</v>
      </c>
      <c r="I50" s="52">
        <f t="shared" si="4"/>
        <v>2732.3289528360001</v>
      </c>
    </row>
    <row r="51" spans="1:9" ht="15.75" customHeight="1" x14ac:dyDescent="0.25">
      <c r="A51" s="51">
        <v>8</v>
      </c>
      <c r="B51" s="52">
        <f t="shared" si="5"/>
        <v>157656.24909423597</v>
      </c>
      <c r="C51" s="52">
        <v>0</v>
      </c>
      <c r="D51" s="52">
        <f t="shared" ref="D51:E51" si="13">D50</f>
        <v>250</v>
      </c>
      <c r="E51" s="52">
        <f t="shared" si="13"/>
        <v>750</v>
      </c>
      <c r="F51" s="52">
        <f t="shared" si="7"/>
        <v>4452.5046881808003</v>
      </c>
      <c r="G51" s="52">
        <f t="shared" si="2"/>
        <v>5452.5046881808003</v>
      </c>
      <c r="H51" s="52">
        <f t="shared" si="3"/>
        <v>-3495.10308079066</v>
      </c>
      <c r="I51" s="52">
        <f t="shared" si="4"/>
        <v>1957.4016073901403</v>
      </c>
    </row>
    <row r="52" spans="1:9" ht="15.75" customHeight="1" x14ac:dyDescent="0.25">
      <c r="A52" s="51">
        <v>9</v>
      </c>
      <c r="B52" s="52">
        <f t="shared" si="5"/>
        <v>159613.65070162612</v>
      </c>
      <c r="C52" s="52">
        <v>0</v>
      </c>
      <c r="D52" s="52">
        <f t="shared" ref="D52:E52" si="14">D51</f>
        <v>250</v>
      </c>
      <c r="E52" s="52">
        <f t="shared" si="14"/>
        <v>750</v>
      </c>
      <c r="F52" s="52">
        <f t="shared" si="7"/>
        <v>3275.9210580143667</v>
      </c>
      <c r="G52" s="52">
        <f t="shared" si="2"/>
        <v>4275.9210580143663</v>
      </c>
      <c r="H52" s="52">
        <f t="shared" si="3"/>
        <v>-2619.9967088595781</v>
      </c>
      <c r="I52" s="52">
        <f t="shared" si="4"/>
        <v>1655.9243491547882</v>
      </c>
    </row>
    <row r="53" spans="1:9" ht="15.75" customHeight="1" x14ac:dyDescent="0.25">
      <c r="A53" s="51">
        <v>10</v>
      </c>
      <c r="B53" s="52">
        <f t="shared" si="5"/>
        <v>161269.5750507809</v>
      </c>
      <c r="C53" s="52">
        <v>0</v>
      </c>
      <c r="D53" s="52">
        <f t="shared" ref="D53:E53" si="15">D52</f>
        <v>250</v>
      </c>
      <c r="E53" s="52">
        <f t="shared" si="15"/>
        <v>750</v>
      </c>
      <c r="F53" s="52">
        <f t="shared" si="7"/>
        <v>2478.728120279397</v>
      </c>
      <c r="G53" s="52">
        <f t="shared" si="2"/>
        <v>3478.728120279397</v>
      </c>
      <c r="H53" s="52">
        <f t="shared" si="3"/>
        <v>-2027.8197505004612</v>
      </c>
      <c r="I53" s="52">
        <f t="shared" si="4"/>
        <v>1450.9083697789358</v>
      </c>
    </row>
    <row r="54" spans="1:9" ht="15.75" customHeight="1" x14ac:dyDescent="0.25">
      <c r="A54" s="51">
        <v>11</v>
      </c>
      <c r="B54" s="52">
        <f t="shared" si="5"/>
        <v>162720.48342055985</v>
      </c>
      <c r="C54" s="52">
        <v>0</v>
      </c>
      <c r="D54" s="52">
        <f t="shared" ref="D54:E54" si="16">D53</f>
        <v>250</v>
      </c>
      <c r="E54" s="52">
        <f t="shared" si="16"/>
        <v>750</v>
      </c>
      <c r="F54" s="52">
        <f t="shared" si="7"/>
        <v>1934.296739549126</v>
      </c>
      <c r="G54" s="52">
        <f t="shared" si="2"/>
        <v>2934.296739549126</v>
      </c>
      <c r="H54" s="52">
        <f t="shared" si="3"/>
        <v>-1613.9646020312694</v>
      </c>
      <c r="I54" s="52">
        <f t="shared" si="4"/>
        <v>1320.3321375178566</v>
      </c>
    </row>
    <row r="55" spans="1:9" ht="15.75" customHeight="1" x14ac:dyDescent="0.25">
      <c r="A55" s="51">
        <v>12</v>
      </c>
      <c r="B55" s="52">
        <f t="shared" si="5"/>
        <v>164040.81555807771</v>
      </c>
      <c r="C55" s="52">
        <v>0</v>
      </c>
      <c r="D55" s="52">
        <f t="shared" ref="D55:E55" si="17">D54</f>
        <v>250</v>
      </c>
      <c r="E55" s="52">
        <f t="shared" si="17"/>
        <v>750</v>
      </c>
      <c r="F55" s="52">
        <f t="shared" si="7"/>
        <v>1562.8508581768665</v>
      </c>
      <c r="G55" s="52">
        <f t="shared" si="2"/>
        <v>2562.8508581768665</v>
      </c>
      <c r="H55" s="52">
        <f t="shared" si="3"/>
        <v>-1324.383730490775</v>
      </c>
      <c r="I55" s="52">
        <f t="shared" si="4"/>
        <v>1238.4671276860915</v>
      </c>
    </row>
    <row r="56" spans="1:9" ht="15.75" customHeight="1" x14ac:dyDescent="0.25">
      <c r="A56" s="51">
        <v>13</v>
      </c>
      <c r="B56" s="52">
        <f t="shared" si="5"/>
        <v>165279.28268576381</v>
      </c>
      <c r="C56" s="52">
        <v>70000</v>
      </c>
      <c r="D56" s="52">
        <f t="shared" ref="D56:E56" si="18">D55</f>
        <v>250</v>
      </c>
      <c r="E56" s="52">
        <f t="shared" si="18"/>
        <v>750</v>
      </c>
      <c r="F56" s="52">
        <f t="shared" si="7"/>
        <v>1309.7642234116602</v>
      </c>
      <c r="G56" s="52">
        <f t="shared" si="2"/>
        <v>72309.764223411665</v>
      </c>
      <c r="H56" s="52">
        <f t="shared" si="3"/>
        <v>-15121.774195650607</v>
      </c>
      <c r="I56" s="52">
        <f t="shared" si="4"/>
        <v>57187.990027761058</v>
      </c>
    </row>
    <row r="57" spans="1:9" ht="15.75" customHeight="1" x14ac:dyDescent="0.25">
      <c r="A57" s="51">
        <v>14</v>
      </c>
      <c r="B57" s="52">
        <f t="shared" si="5"/>
        <v>222467.27271352487</v>
      </c>
      <c r="C57" s="52">
        <v>0</v>
      </c>
      <c r="D57" s="52">
        <f t="shared" ref="D57:E57" si="19">D56</f>
        <v>250</v>
      </c>
      <c r="E57" s="52">
        <f t="shared" si="19"/>
        <v>750</v>
      </c>
      <c r="F57" s="52">
        <f t="shared" si="7"/>
        <v>17937.564312868479</v>
      </c>
      <c r="G57" s="52">
        <f t="shared" si="2"/>
        <v>18937.564312868479</v>
      </c>
      <c r="H57" s="52">
        <f t="shared" si="3"/>
        <v>-11349.784204315361</v>
      </c>
      <c r="I57" s="52">
        <f t="shared" si="4"/>
        <v>7587.7801085531173</v>
      </c>
    </row>
    <row r="58" spans="1:9" ht="15.75" customHeight="1" x14ac:dyDescent="0.25">
      <c r="A58" s="51">
        <v>15</v>
      </c>
      <c r="B58" s="52">
        <f t="shared" si="5"/>
        <v>230055.052822078</v>
      </c>
      <c r="C58" s="52">
        <v>0</v>
      </c>
      <c r="D58" s="52">
        <f t="shared" ref="D58:E58" si="20">D57</f>
        <v>250</v>
      </c>
      <c r="E58" s="52">
        <f t="shared" si="20"/>
        <v>750</v>
      </c>
      <c r="F58" s="52">
        <f t="shared" si="7"/>
        <v>12403.626887379229</v>
      </c>
      <c r="G58" s="52">
        <f t="shared" si="2"/>
        <v>13403.626887379229</v>
      </c>
      <c r="H58" s="52">
        <f t="shared" si="3"/>
        <v>-6606.6228072981221</v>
      </c>
      <c r="I58" s="52">
        <f t="shared" si="4"/>
        <v>6797.0040800811066</v>
      </c>
    </row>
    <row r="59" spans="1:9" ht="15.75" customHeight="1" x14ac:dyDescent="0.25">
      <c r="A59" s="51">
        <v>16</v>
      </c>
      <c r="B59" s="52">
        <f t="shared" si="5"/>
        <v>236852.05690215909</v>
      </c>
      <c r="C59" s="52">
        <v>0</v>
      </c>
      <c r="D59" s="52">
        <f t="shared" ref="D59:E59" si="21">D58</f>
        <v>250</v>
      </c>
      <c r="E59" s="52">
        <f t="shared" si="21"/>
        <v>750</v>
      </c>
      <c r="F59" s="52">
        <f t="shared" si="7"/>
        <v>8982.4201448936437</v>
      </c>
      <c r="G59" s="52">
        <f t="shared" si="2"/>
        <v>9982.4201448936437</v>
      </c>
      <c r="H59" s="52">
        <f t="shared" si="3"/>
        <v>-5755.4586210668076</v>
      </c>
      <c r="I59" s="52">
        <f t="shared" si="4"/>
        <v>4226.9615238268361</v>
      </c>
    </row>
    <row r="60" spans="1:9" ht="15.75" customHeight="1" x14ac:dyDescent="0.25">
      <c r="A60" s="51">
        <v>17</v>
      </c>
      <c r="B60" s="52">
        <f t="shared" si="5"/>
        <v>241079.01842598594</v>
      </c>
      <c r="C60" s="52">
        <v>0</v>
      </c>
      <c r="D60" s="52">
        <f t="shared" ref="D60:E60" si="22">D59</f>
        <v>250</v>
      </c>
      <c r="E60" s="52">
        <f t="shared" si="22"/>
        <v>750</v>
      </c>
      <c r="F60" s="52">
        <f t="shared" si="7"/>
        <v>6570.965181888143</v>
      </c>
      <c r="G60" s="52">
        <f t="shared" si="2"/>
        <v>7570.965181888143</v>
      </c>
      <c r="H60" s="52">
        <f t="shared" si="3"/>
        <v>-5192.7802079128933</v>
      </c>
      <c r="I60" s="52">
        <f t="shared" si="4"/>
        <v>2378.1849739752497</v>
      </c>
    </row>
    <row r="61" spans="1:9" ht="15.75" customHeight="1" x14ac:dyDescent="0.25">
      <c r="A61" s="51">
        <v>18</v>
      </c>
      <c r="B61" s="52">
        <f t="shared" si="5"/>
        <v>243457.20339996117</v>
      </c>
      <c r="C61" s="52">
        <v>0</v>
      </c>
      <c r="D61" s="52">
        <f t="shared" ref="D61:E61" si="23">D60</f>
        <v>250</v>
      </c>
      <c r="E61" s="52">
        <f t="shared" si="23"/>
        <v>750</v>
      </c>
      <c r="F61" s="52">
        <f t="shared" si="7"/>
        <v>4867.1435857370798</v>
      </c>
      <c r="G61" s="52">
        <f t="shared" si="2"/>
        <v>5867.1435857370798</v>
      </c>
      <c r="H61" s="52">
        <f t="shared" si="3"/>
        <v>-4796.3596245500567</v>
      </c>
      <c r="I61" s="52">
        <f t="shared" si="4"/>
        <v>1070.7839611870231</v>
      </c>
    </row>
    <row r="62" spans="1:9" ht="15.75" customHeight="1" x14ac:dyDescent="0.25">
      <c r="A62" s="51">
        <v>19</v>
      </c>
      <c r="B62" s="52">
        <f t="shared" si="5"/>
        <v>244527.9873611482</v>
      </c>
      <c r="C62" s="52">
        <v>0</v>
      </c>
      <c r="D62" s="52">
        <f t="shared" ref="D62:E62" si="24">D61</f>
        <v>250</v>
      </c>
      <c r="E62" s="52">
        <f t="shared" si="24"/>
        <v>750</v>
      </c>
      <c r="F62" s="52">
        <f t="shared" si="7"/>
        <v>3663.8062354383815</v>
      </c>
      <c r="G62" s="52">
        <f t="shared" si="2"/>
        <v>4663.8062354383819</v>
      </c>
      <c r="H62" s="52">
        <f t="shared" si="3"/>
        <v>-2766.8400188371215</v>
      </c>
      <c r="I62" s="52">
        <f t="shared" si="4"/>
        <v>1896.9662166012604</v>
      </c>
    </row>
    <row r="63" spans="1:9" ht="15.75" customHeight="1" x14ac:dyDescent="0.25">
      <c r="A63" s="51">
        <v>20</v>
      </c>
      <c r="B63" s="52">
        <f t="shared" si="5"/>
        <v>246424.95357774946</v>
      </c>
      <c r="C63" s="52">
        <v>0</v>
      </c>
      <c r="D63" s="52">
        <f t="shared" ref="D63:E63" si="25">D62</f>
        <v>250</v>
      </c>
      <c r="E63" s="52">
        <f t="shared" si="25"/>
        <v>750</v>
      </c>
      <c r="F63" s="52">
        <f t="shared" si="7"/>
        <v>2625.5627282188352</v>
      </c>
      <c r="G63" s="52">
        <f t="shared" si="2"/>
        <v>3625.5627282188352</v>
      </c>
      <c r="H63" s="52">
        <f t="shared" si="3"/>
        <v>-2112.0970641850572</v>
      </c>
      <c r="I63" s="52">
        <f t="shared" si="4"/>
        <v>1513.465664033778</v>
      </c>
    </row>
    <row r="64" spans="1:9" ht="15.75" customHeight="1" x14ac:dyDescent="0.25">
      <c r="A64" s="51">
        <v>21</v>
      </c>
      <c r="B64" s="52">
        <f t="shared" si="5"/>
        <v>247938.41924178324</v>
      </c>
      <c r="C64" s="52">
        <v>0</v>
      </c>
      <c r="D64" s="52">
        <f t="shared" ref="D64:E64" si="26">D63</f>
        <v>250</v>
      </c>
      <c r="E64" s="52">
        <f t="shared" si="26"/>
        <v>750</v>
      </c>
      <c r="F64" s="52">
        <f t="shared" si="7"/>
        <v>2033.7780171444942</v>
      </c>
      <c r="G64" s="52">
        <f t="shared" si="2"/>
        <v>3033.7780171444942</v>
      </c>
      <c r="H64" s="52">
        <f t="shared" si="3"/>
        <v>-1671.4202549497134</v>
      </c>
      <c r="I64" s="52">
        <f t="shared" si="4"/>
        <v>1362.3577621947809</v>
      </c>
    </row>
    <row r="65" spans="1:9" ht="15.75" customHeight="1" x14ac:dyDescent="0.25">
      <c r="A65" s="51">
        <v>22</v>
      </c>
      <c r="B65" s="52">
        <f t="shared" si="5"/>
        <v>249300.77700397803</v>
      </c>
      <c r="C65" s="52">
        <v>0</v>
      </c>
      <c r="D65" s="52">
        <f t="shared" ref="D65:E65" si="27">D64</f>
        <v>250</v>
      </c>
      <c r="E65" s="52">
        <f t="shared" si="27"/>
        <v>750</v>
      </c>
      <c r="F65" s="52">
        <f t="shared" si="7"/>
        <v>1632.7809876893439</v>
      </c>
      <c r="G65" s="52">
        <f t="shared" si="2"/>
        <v>2632.7809876893439</v>
      </c>
      <c r="H65" s="52">
        <f t="shared" si="3"/>
        <v>-1373.1209425343791</v>
      </c>
      <c r="I65" s="52">
        <f t="shared" si="4"/>
        <v>1259.6600451549648</v>
      </c>
    </row>
    <row r="66" spans="1:9" ht="15.75" customHeight="1" x14ac:dyDescent="0.25">
      <c r="A66" s="51">
        <v>23</v>
      </c>
      <c r="B66" s="52">
        <f t="shared" si="5"/>
        <v>250560.437049133</v>
      </c>
      <c r="C66" s="52">
        <v>0</v>
      </c>
      <c r="D66" s="52">
        <f t="shared" ref="D66:E66" si="28">D65</f>
        <v>250</v>
      </c>
      <c r="E66" s="52">
        <f t="shared" si="28"/>
        <v>750</v>
      </c>
      <c r="F66" s="52">
        <f t="shared" si="7"/>
        <v>1358.9807869939807</v>
      </c>
      <c r="G66" s="52">
        <f t="shared" si="2"/>
        <v>2358.9807869939805</v>
      </c>
      <c r="H66" s="52">
        <f t="shared" si="3"/>
        <v>-1164.8315203312002</v>
      </c>
      <c r="I66" s="52">
        <f t="shared" si="4"/>
        <v>1194.1492666627803</v>
      </c>
    </row>
    <row r="67" spans="1:9" ht="15.75" customHeight="1" x14ac:dyDescent="0.25">
      <c r="A67" s="51">
        <v>24</v>
      </c>
      <c r="B67" s="52">
        <f t="shared" si="5"/>
        <v>251754.58631579578</v>
      </c>
      <c r="C67" s="52">
        <v>0</v>
      </c>
      <c r="D67" s="52">
        <f t="shared" ref="D67:E67" si="29">D66</f>
        <v>250</v>
      </c>
      <c r="E67" s="52">
        <f t="shared" si="29"/>
        <v>750</v>
      </c>
      <c r="F67" s="52">
        <f t="shared" si="7"/>
        <v>1172.212158195525</v>
      </c>
      <c r="G67" s="52">
        <f t="shared" si="2"/>
        <v>2172.2121581955253</v>
      </c>
      <c r="H67" s="52">
        <f t="shared" si="3"/>
        <v>-1019.2387095507796</v>
      </c>
      <c r="I67" s="52">
        <f t="shared" si="4"/>
        <v>1152.9734486447455</v>
      </c>
    </row>
    <row r="68" spans="1:9" ht="15.75" customHeight="1" x14ac:dyDescent="0.25">
      <c r="A68" s="51">
        <v>25</v>
      </c>
      <c r="B68" s="52">
        <f t="shared" si="5"/>
        <v>252907.55976444052</v>
      </c>
      <c r="C68" s="52">
        <v>80000</v>
      </c>
      <c r="D68" s="52">
        <f t="shared" ref="D68:E68" si="30">D67</f>
        <v>250</v>
      </c>
      <c r="E68" s="52">
        <f t="shared" si="30"/>
        <v>750</v>
      </c>
      <c r="F68" s="52">
        <f t="shared" si="7"/>
        <v>1044.9777505666193</v>
      </c>
      <c r="G68" s="52">
        <f t="shared" si="2"/>
        <v>82044.977750566613</v>
      </c>
      <c r="H68" s="52">
        <f t="shared" si="3"/>
        <v>-16917.494328934037</v>
      </c>
      <c r="I68" s="52">
        <f t="shared" si="4"/>
        <v>65127.483421632576</v>
      </c>
    </row>
    <row r="69" spans="1:9" ht="15.75" customHeight="1" x14ac:dyDescent="0.25">
      <c r="A69" s="51">
        <v>26</v>
      </c>
      <c r="B69" s="52">
        <f t="shared" si="5"/>
        <v>318035.04318607308</v>
      </c>
      <c r="C69" s="52">
        <v>0</v>
      </c>
      <c r="D69" s="52">
        <f t="shared" ref="D69:E69" si="31">D68</f>
        <v>250</v>
      </c>
      <c r="E69" s="52">
        <f t="shared" si="31"/>
        <v>750</v>
      </c>
      <c r="F69" s="52">
        <f t="shared" si="7"/>
        <v>20158.420252147658</v>
      </c>
      <c r="G69" s="52">
        <f t="shared" si="2"/>
        <v>21158.420252147658</v>
      </c>
      <c r="H69" s="52">
        <f t="shared" si="3"/>
        <v>-12691.125624236784</v>
      </c>
      <c r="I69" s="52">
        <f t="shared" si="4"/>
        <v>8467.2946279108746</v>
      </c>
    </row>
    <row r="70" spans="1:9" ht="15.75" customHeight="1" x14ac:dyDescent="0.25">
      <c r="A70" s="51">
        <v>27</v>
      </c>
      <c r="B70" s="52">
        <f t="shared" si="5"/>
        <v>326502.33781398396</v>
      </c>
      <c r="C70" s="52">
        <v>0</v>
      </c>
      <c r="D70" s="52">
        <f t="shared" ref="D70:E70" si="32">D69</f>
        <v>250</v>
      </c>
      <c r="E70" s="52">
        <f t="shared" si="32"/>
        <v>750</v>
      </c>
      <c r="F70" s="52">
        <f t="shared" si="7"/>
        <v>13908.129825062479</v>
      </c>
      <c r="G70" s="52">
        <f t="shared" si="2"/>
        <v>14908.129825062479</v>
      </c>
      <c r="H70" s="52">
        <f t="shared" si="3"/>
        <v>-7327.6917823134008</v>
      </c>
      <c r="I70" s="52">
        <f t="shared" si="4"/>
        <v>7580.4380427490778</v>
      </c>
    </row>
    <row r="71" spans="1:9" ht="15.75" customHeight="1" x14ac:dyDescent="0.25">
      <c r="A71" s="51">
        <v>28</v>
      </c>
      <c r="B71" s="52">
        <f t="shared" si="5"/>
        <v>334082.77585673303</v>
      </c>
      <c r="C71" s="52">
        <v>0</v>
      </c>
      <c r="D71" s="52">
        <f t="shared" ref="D71:E71" si="33">D70</f>
        <v>250</v>
      </c>
      <c r="E71" s="52">
        <f t="shared" si="33"/>
        <v>750</v>
      </c>
      <c r="F71" s="52">
        <f t="shared" si="7"/>
        <v>10048.513653622287</v>
      </c>
      <c r="G71" s="52">
        <f t="shared" si="2"/>
        <v>11048.513653622287</v>
      </c>
      <c r="H71" s="52">
        <f t="shared" si="3"/>
        <v>-6393.8804869283031</v>
      </c>
      <c r="I71" s="52">
        <f t="shared" si="4"/>
        <v>4654.6331666939841</v>
      </c>
    </row>
    <row r="72" spans="1:9" ht="15.75" customHeight="1" x14ac:dyDescent="0.25">
      <c r="A72" s="51">
        <v>29</v>
      </c>
      <c r="B72" s="52">
        <f t="shared" si="5"/>
        <v>338737.409023427</v>
      </c>
      <c r="C72" s="52">
        <v>0</v>
      </c>
      <c r="D72" s="52">
        <f t="shared" ref="D72:E72" si="34">D71</f>
        <v>250</v>
      </c>
      <c r="E72" s="52">
        <f t="shared" si="34"/>
        <v>750</v>
      </c>
      <c r="F72" s="52">
        <f t="shared" si="7"/>
        <v>7326.7131445916393</v>
      </c>
      <c r="G72" s="52">
        <f t="shared" si="2"/>
        <v>8326.7131445916384</v>
      </c>
      <c r="H72" s="52">
        <f t="shared" si="3"/>
        <v>-5777.2874939298581</v>
      </c>
      <c r="I72" s="52">
        <f t="shared" si="4"/>
        <v>2549.4256506617803</v>
      </c>
    </row>
    <row r="73" spans="1:9" ht="15.75" customHeight="1" x14ac:dyDescent="0.25">
      <c r="A73" s="51">
        <v>30</v>
      </c>
      <c r="B73" s="52">
        <f t="shared" si="5"/>
        <v>341286.83467408875</v>
      </c>
      <c r="C73" s="52">
        <v>0</v>
      </c>
      <c r="D73" s="52">
        <f t="shared" ref="D73:E73" si="35">D72</f>
        <v>250</v>
      </c>
      <c r="E73" s="52">
        <f t="shared" si="35"/>
        <v>750</v>
      </c>
      <c r="F73" s="52">
        <f t="shared" si="7"/>
        <v>5402.6489307765232</v>
      </c>
      <c r="G73" s="52">
        <f t="shared" si="2"/>
        <v>6402.6489307765232</v>
      </c>
      <c r="H73" s="52">
        <f t="shared" si="3"/>
        <v>-5342.2021376494458</v>
      </c>
      <c r="I73" s="52">
        <f t="shared" si="4"/>
        <v>1060.4467931270774</v>
      </c>
    </row>
    <row r="74" spans="1:9" ht="15.75" customHeight="1" x14ac:dyDescent="0.25">
      <c r="A74" s="51">
        <v>31</v>
      </c>
      <c r="B74" s="52">
        <f t="shared" si="5"/>
        <v>342347.28146721586</v>
      </c>
      <c r="C74" s="52">
        <v>0</v>
      </c>
      <c r="D74" s="52">
        <f t="shared" ref="D74:E74" si="36">D73</f>
        <v>250</v>
      </c>
      <c r="E74" s="52">
        <f t="shared" si="36"/>
        <v>750</v>
      </c>
      <c r="F74" s="52">
        <f t="shared" si="7"/>
        <v>4043.1105289458064</v>
      </c>
      <c r="G74" s="52">
        <f t="shared" si="2"/>
        <v>5043.1105289458064</v>
      </c>
      <c r="H74" s="52">
        <f t="shared" si="3"/>
        <v>-3034.9314207524153</v>
      </c>
      <c r="I74" s="52">
        <f t="shared" si="4"/>
        <v>2008.1791081933911</v>
      </c>
    </row>
    <row r="75" spans="1:9" ht="15.75" customHeight="1" x14ac:dyDescent="0.25">
      <c r="A75" s="51">
        <v>32</v>
      </c>
      <c r="B75" s="52">
        <f t="shared" si="5"/>
        <v>344355.46057540923</v>
      </c>
      <c r="C75" s="52">
        <v>0</v>
      </c>
      <c r="D75" s="52">
        <f t="shared" ref="D75:E75" si="37">D74</f>
        <v>250</v>
      </c>
      <c r="E75" s="52">
        <f t="shared" si="37"/>
        <v>750</v>
      </c>
      <c r="F75" s="52">
        <f t="shared" si="7"/>
        <v>2867.192798236304</v>
      </c>
      <c r="G75" s="52">
        <f t="shared" si="2"/>
        <v>3867.192798236304</v>
      </c>
      <c r="H75" s="52">
        <f t="shared" si="3"/>
        <v>-2294.8997513931649</v>
      </c>
      <c r="I75" s="52">
        <f t="shared" si="4"/>
        <v>1572.2930468431391</v>
      </c>
    </row>
    <row r="76" spans="1:9" ht="15.75" customHeight="1" x14ac:dyDescent="0.25">
      <c r="A76" s="51">
        <v>33</v>
      </c>
      <c r="B76" s="52">
        <f t="shared" si="5"/>
        <v>345927.75362225238</v>
      </c>
      <c r="C76" s="52">
        <v>0</v>
      </c>
      <c r="D76" s="52">
        <f t="shared" ref="D76:E76" si="38">D75</f>
        <v>250</v>
      </c>
      <c r="E76" s="52">
        <f t="shared" si="38"/>
        <v>750</v>
      </c>
      <c r="F76" s="52">
        <f t="shared" si="7"/>
        <v>2198.0836117803678</v>
      </c>
      <c r="G76" s="52">
        <f t="shared" si="2"/>
        <v>3198.0836117803678</v>
      </c>
      <c r="H76" s="52">
        <f t="shared" si="3"/>
        <v>-1796.8606586281101</v>
      </c>
      <c r="I76" s="52">
        <f t="shared" si="4"/>
        <v>1401.2229531522578</v>
      </c>
    </row>
    <row r="77" spans="1:9" ht="15.75" customHeight="1" x14ac:dyDescent="0.25">
      <c r="A77" s="51">
        <v>34</v>
      </c>
      <c r="B77" s="52">
        <f t="shared" si="5"/>
        <v>347328.97657540464</v>
      </c>
      <c r="C77" s="52">
        <v>0</v>
      </c>
      <c r="D77" s="52">
        <f t="shared" ref="D77:E77" si="39">D76</f>
        <v>250</v>
      </c>
      <c r="E77" s="52">
        <f t="shared" si="39"/>
        <v>750</v>
      </c>
      <c r="F77" s="52">
        <f t="shared" si="7"/>
        <v>1744.693907822468</v>
      </c>
      <c r="G77" s="52">
        <f t="shared" si="2"/>
        <v>2744.6939078224677</v>
      </c>
      <c r="H77" s="52">
        <f t="shared" si="3"/>
        <v>-1459.7387778062873</v>
      </c>
      <c r="I77" s="52">
        <f t="shared" si="4"/>
        <v>1284.9551300161804</v>
      </c>
    </row>
    <row r="78" spans="1:9" ht="15.75" customHeight="1" x14ac:dyDescent="0.25">
      <c r="A78" s="51">
        <v>35</v>
      </c>
      <c r="B78" s="52">
        <f t="shared" si="5"/>
        <v>348613.93170542084</v>
      </c>
      <c r="C78" s="52">
        <v>0</v>
      </c>
      <c r="D78" s="52">
        <f t="shared" ref="D78:E78" si="40">D77</f>
        <v>250</v>
      </c>
      <c r="E78" s="52">
        <f t="shared" si="40"/>
        <v>750</v>
      </c>
      <c r="F78" s="52">
        <f t="shared" si="7"/>
        <v>1435.0965752639631</v>
      </c>
      <c r="G78" s="52">
        <f t="shared" si="2"/>
        <v>2435.0965752639631</v>
      </c>
      <c r="H78" s="52">
        <f t="shared" si="3"/>
        <v>-1224.2646025785145</v>
      </c>
      <c r="I78" s="52">
        <f t="shared" si="4"/>
        <v>1210.8319726854486</v>
      </c>
    </row>
    <row r="79" spans="1:9" ht="15.75" customHeight="1" x14ac:dyDescent="0.25">
      <c r="A79" s="51">
        <v>36</v>
      </c>
      <c r="B79" s="52">
        <f t="shared" si="5"/>
        <v>349824.7636781063</v>
      </c>
      <c r="C79" s="52">
        <v>0</v>
      </c>
      <c r="D79" s="52">
        <f t="shared" ref="D79:E79" si="41">D78</f>
        <v>250</v>
      </c>
      <c r="E79" s="52">
        <f t="shared" si="41"/>
        <v>750</v>
      </c>
      <c r="F79" s="52">
        <f t="shared" si="7"/>
        <v>1223.8956974348027</v>
      </c>
      <c r="G79" s="52">
        <f t="shared" si="2"/>
        <v>2223.895697434803</v>
      </c>
      <c r="H79" s="52">
        <f t="shared" si="3"/>
        <v>-1059.6158181829805</v>
      </c>
      <c r="I79" s="52">
        <f t="shared" si="4"/>
        <v>1164.2798792518224</v>
      </c>
    </row>
    <row r="80" spans="1:9" ht="15.75" customHeight="1" x14ac:dyDescent="0.25">
      <c r="A80" s="51">
        <v>37</v>
      </c>
      <c r="B80" s="52">
        <f t="shared" si="5"/>
        <v>350989.04355735815</v>
      </c>
      <c r="C80" s="52">
        <v>90000</v>
      </c>
      <c r="D80" s="52">
        <f t="shared" ref="D80:E80" si="42">D79</f>
        <v>250</v>
      </c>
      <c r="E80" s="52">
        <f t="shared" si="42"/>
        <v>750</v>
      </c>
      <c r="F80" s="52">
        <f t="shared" si="7"/>
        <v>1080.0096872373795</v>
      </c>
      <c r="G80" s="52">
        <f t="shared" si="2"/>
        <v>92080.009687237383</v>
      </c>
      <c r="H80" s="52">
        <f t="shared" si="3"/>
        <v>-18944.518179518534</v>
      </c>
      <c r="I80" s="52">
        <f t="shared" si="4"/>
        <v>73135.491507718849</v>
      </c>
    </row>
    <row r="81" spans="1:9" ht="15.75" customHeight="1" x14ac:dyDescent="0.25">
      <c r="A81" s="51">
        <v>38</v>
      </c>
      <c r="B81" s="52">
        <f t="shared" si="5"/>
        <v>424124.53506507701</v>
      </c>
      <c r="C81" s="52">
        <v>0</v>
      </c>
      <c r="D81" s="52">
        <f t="shared" ref="D81:E81" si="43">D80</f>
        <v>250</v>
      </c>
      <c r="E81" s="52">
        <f t="shared" si="43"/>
        <v>750</v>
      </c>
      <c r="F81" s="52">
        <f t="shared" si="7"/>
        <v>22582.120553109169</v>
      </c>
      <c r="G81" s="52">
        <f t="shared" si="2"/>
        <v>23582.120553109169</v>
      </c>
      <c r="H81" s="52">
        <f t="shared" si="3"/>
        <v>-14189.469324153119</v>
      </c>
      <c r="I81" s="52">
        <f t="shared" si="4"/>
        <v>9392.6512289560505</v>
      </c>
    </row>
    <row r="82" spans="1:9" ht="15.75" customHeight="1" x14ac:dyDescent="0.25">
      <c r="A82" s="51">
        <v>39</v>
      </c>
      <c r="B82" s="52">
        <f t="shared" si="5"/>
        <v>433517.18629403308</v>
      </c>
      <c r="C82" s="52">
        <v>0</v>
      </c>
      <c r="D82" s="52">
        <f t="shared" ref="D82:E82" si="44">D81</f>
        <v>250</v>
      </c>
      <c r="E82" s="52">
        <f t="shared" si="44"/>
        <v>750</v>
      </c>
      <c r="F82" s="52">
        <f t="shared" si="7"/>
        <v>15550.203750659379</v>
      </c>
      <c r="G82" s="52">
        <f t="shared" si="2"/>
        <v>16550.203750659377</v>
      </c>
      <c r="H82" s="52">
        <f t="shared" si="3"/>
        <v>-8155.3452021367611</v>
      </c>
      <c r="I82" s="52">
        <f t="shared" si="4"/>
        <v>8394.8585485226158</v>
      </c>
    </row>
    <row r="83" spans="1:9" ht="15.75" customHeight="1" x14ac:dyDescent="0.25">
      <c r="A83" s="51">
        <v>40</v>
      </c>
      <c r="B83" s="52">
        <f t="shared" si="5"/>
        <v>441912.04484255571</v>
      </c>
      <c r="C83" s="52">
        <v>0</v>
      </c>
      <c r="D83" s="52">
        <f t="shared" ref="D83:E83" si="45">D82</f>
        <v>250</v>
      </c>
      <c r="E83" s="52">
        <f t="shared" si="45"/>
        <v>750</v>
      </c>
      <c r="F83" s="52">
        <f t="shared" si="7"/>
        <v>11207.904697498952</v>
      </c>
      <c r="G83" s="52">
        <f t="shared" si="2"/>
        <v>12207.904697498952</v>
      </c>
      <c r="H83" s="52">
        <f t="shared" si="3"/>
        <v>-7104.6293773918642</v>
      </c>
      <c r="I83" s="52">
        <f t="shared" si="4"/>
        <v>5103.2753201070882</v>
      </c>
    </row>
    <row r="84" spans="1:9" ht="15.75" customHeight="1" x14ac:dyDescent="0.25">
      <c r="A84" s="51">
        <v>41</v>
      </c>
      <c r="B84" s="52">
        <f t="shared" si="5"/>
        <v>447015.32016266277</v>
      </c>
      <c r="C84" s="52">
        <v>0</v>
      </c>
      <c r="D84" s="52">
        <f t="shared" ref="D84:E84" si="46">D83</f>
        <v>250</v>
      </c>
      <c r="E84" s="52">
        <f t="shared" si="46"/>
        <v>750</v>
      </c>
      <c r="F84" s="52">
        <f t="shared" si="7"/>
        <v>8145.7223062867197</v>
      </c>
      <c r="G84" s="52">
        <f t="shared" si="2"/>
        <v>9145.7223062867197</v>
      </c>
      <c r="H84" s="52">
        <f t="shared" si="3"/>
        <v>-6410.8406732182511</v>
      </c>
      <c r="I84" s="52">
        <f t="shared" si="4"/>
        <v>2734.8816330684685</v>
      </c>
    </row>
    <row r="85" spans="1:9" ht="15.75" customHeight="1" x14ac:dyDescent="0.25">
      <c r="A85" s="51">
        <v>42</v>
      </c>
      <c r="B85" s="52">
        <f t="shared" si="5"/>
        <v>449750.20179573126</v>
      </c>
      <c r="C85" s="52">
        <v>0</v>
      </c>
      <c r="D85" s="52">
        <f t="shared" ref="D85:E85" si="47">D84</f>
        <v>250</v>
      </c>
      <c r="E85" s="52">
        <f t="shared" si="47"/>
        <v>750</v>
      </c>
      <c r="F85" s="52">
        <f t="shared" si="7"/>
        <v>5981.0436269257534</v>
      </c>
      <c r="G85" s="52">
        <f t="shared" si="2"/>
        <v>6981.0436269257534</v>
      </c>
      <c r="H85" s="52">
        <f t="shared" si="3"/>
        <v>-5921.2869232264457</v>
      </c>
      <c r="I85" s="52">
        <f t="shared" si="4"/>
        <v>1059.7567036993078</v>
      </c>
    </row>
    <row r="86" spans="1:9" ht="15.75" customHeight="1" x14ac:dyDescent="0.25">
      <c r="A86" s="51">
        <v>43</v>
      </c>
      <c r="B86" s="52">
        <f t="shared" si="5"/>
        <v>450809.95849943056</v>
      </c>
      <c r="C86" s="52">
        <v>0</v>
      </c>
      <c r="D86" s="52">
        <f t="shared" ref="D86:E86" si="48">D85</f>
        <v>250</v>
      </c>
      <c r="E86" s="52">
        <f t="shared" si="48"/>
        <v>750</v>
      </c>
      <c r="F86" s="52">
        <f t="shared" si="7"/>
        <v>4451.4907340779519</v>
      </c>
      <c r="G86" s="52">
        <f t="shared" si="2"/>
        <v>5451.4907340779519</v>
      </c>
      <c r="H86" s="52">
        <f t="shared" si="3"/>
        <v>-3325.5512921970212</v>
      </c>
      <c r="I86" s="52">
        <f t="shared" si="4"/>
        <v>2125.9394418809306</v>
      </c>
    </row>
    <row r="87" spans="1:9" ht="15.75" customHeight="1" x14ac:dyDescent="0.25">
      <c r="A87" s="51">
        <v>44</v>
      </c>
      <c r="B87" s="52">
        <f t="shared" si="5"/>
        <v>452935.89794131147</v>
      </c>
      <c r="C87" s="52">
        <v>0</v>
      </c>
      <c r="D87" s="52">
        <f t="shared" ref="D87:E87" si="49">D86</f>
        <v>250</v>
      </c>
      <c r="E87" s="52">
        <f t="shared" si="49"/>
        <v>750</v>
      </c>
      <c r="F87" s="52">
        <f t="shared" si="7"/>
        <v>3128.5343540774934</v>
      </c>
      <c r="G87" s="52">
        <f t="shared" si="2"/>
        <v>4128.5343540774938</v>
      </c>
      <c r="H87" s="52">
        <f t="shared" si="3"/>
        <v>-2492.9778037575638</v>
      </c>
      <c r="I87" s="52">
        <f t="shared" si="4"/>
        <v>1635.55655031993</v>
      </c>
    </row>
    <row r="88" spans="1:9" ht="15.75" customHeight="1" x14ac:dyDescent="0.25">
      <c r="A88" s="51">
        <v>45</v>
      </c>
      <c r="B88" s="52">
        <f t="shared" si="5"/>
        <v>454571.45449163142</v>
      </c>
      <c r="C88" s="52">
        <v>0</v>
      </c>
      <c r="D88" s="52">
        <f t="shared" ref="D88:E88" si="50">D87</f>
        <v>250</v>
      </c>
      <c r="E88" s="52">
        <f t="shared" si="50"/>
        <v>750</v>
      </c>
      <c r="F88" s="52">
        <f t="shared" si="7"/>
        <v>2375.7533661569132</v>
      </c>
      <c r="G88" s="52">
        <f t="shared" si="2"/>
        <v>3375.7533661569132</v>
      </c>
      <c r="H88" s="52">
        <f t="shared" si="3"/>
        <v>-1932.6581427588662</v>
      </c>
      <c r="I88" s="52">
        <f t="shared" si="4"/>
        <v>1443.095223398047</v>
      </c>
    </row>
    <row r="89" spans="1:9" ht="15.75" customHeight="1" x14ac:dyDescent="0.25">
      <c r="A89" s="51">
        <v>46</v>
      </c>
      <c r="B89" s="52">
        <f t="shared" si="5"/>
        <v>456014.54971502948</v>
      </c>
      <c r="C89" s="52">
        <v>0</v>
      </c>
      <c r="D89" s="52">
        <f t="shared" ref="D89:E89" si="51">D88</f>
        <v>250</v>
      </c>
      <c r="E89" s="52">
        <f t="shared" si="51"/>
        <v>750</v>
      </c>
      <c r="F89" s="52">
        <f t="shared" si="7"/>
        <v>1865.6674690750367</v>
      </c>
      <c r="G89" s="52">
        <f t="shared" si="2"/>
        <v>2865.6674690750369</v>
      </c>
      <c r="H89" s="52">
        <f t="shared" si="3"/>
        <v>-1553.3786059648967</v>
      </c>
      <c r="I89" s="52">
        <f t="shared" si="4"/>
        <v>1312.2888631101403</v>
      </c>
    </row>
    <row r="90" spans="1:9" ht="15.75" customHeight="1" x14ac:dyDescent="0.25">
      <c r="A90" s="51">
        <v>47</v>
      </c>
      <c r="B90" s="52">
        <f t="shared" si="5"/>
        <v>457326.83857813961</v>
      </c>
      <c r="C90" s="52">
        <v>0</v>
      </c>
      <c r="D90" s="52">
        <f t="shared" ref="D90:E90" si="52">D89</f>
        <v>250</v>
      </c>
      <c r="E90" s="52">
        <f t="shared" si="52"/>
        <v>750</v>
      </c>
      <c r="F90" s="52">
        <f t="shared" si="7"/>
        <v>1517.355227318707</v>
      </c>
      <c r="G90" s="52">
        <f t="shared" si="2"/>
        <v>2517.355227318707</v>
      </c>
      <c r="H90" s="52">
        <f t="shared" si="3"/>
        <v>-1288.4583444021978</v>
      </c>
      <c r="I90" s="52">
        <f t="shared" si="4"/>
        <v>1228.8968829165092</v>
      </c>
    </row>
    <row r="91" spans="1:9" ht="15.75" customHeight="1" x14ac:dyDescent="0.25">
      <c r="A91" s="51">
        <v>48</v>
      </c>
      <c r="B91" s="52">
        <f t="shared" si="5"/>
        <v>458555.73546105612</v>
      </c>
      <c r="C91" s="52">
        <v>0</v>
      </c>
      <c r="D91" s="52">
        <f t="shared" ref="D91:E91" si="53">D90</f>
        <v>250</v>
      </c>
      <c r="E91" s="52">
        <f t="shared" si="53"/>
        <v>750</v>
      </c>
      <c r="F91" s="52">
        <f t="shared" si="7"/>
        <v>1279.7439052931345</v>
      </c>
      <c r="G91" s="52">
        <f t="shared" si="2"/>
        <v>2279.7439052931345</v>
      </c>
      <c r="H91" s="52">
        <f t="shared" si="3"/>
        <v>-1103.2204518751826</v>
      </c>
      <c r="I91" s="52">
        <f t="shared" si="4"/>
        <v>1176.5234534179519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showGridLines="0" workbookViewId="0">
      <selection activeCell="B16" sqref="B16"/>
    </sheetView>
  </sheetViews>
  <sheetFormatPr defaultColWidth="17.28515625" defaultRowHeight="15" customHeight="1" x14ac:dyDescent="0.2"/>
  <cols>
    <col min="1" max="1" width="24" customWidth="1"/>
  </cols>
  <sheetData>
    <row r="1" spans="1:3" ht="45.75" customHeight="1" x14ac:dyDescent="0.45">
      <c r="A1" s="2" t="s">
        <v>1</v>
      </c>
    </row>
    <row r="3" spans="1:3" ht="32.25" customHeight="1" x14ac:dyDescent="0.4">
      <c r="A3" s="4" t="s">
        <v>3</v>
      </c>
    </row>
    <row r="5" spans="1:3" ht="15" customHeight="1" x14ac:dyDescent="0.2">
      <c r="A5" s="6" t="s">
        <v>6</v>
      </c>
      <c r="B5" s="8">
        <v>1.9800000000000002E-2</v>
      </c>
      <c r="C5" s="21" t="s">
        <v>8</v>
      </c>
    </row>
    <row r="6" spans="1:3" ht="15" customHeight="1" x14ac:dyDescent="0.2">
      <c r="A6" s="22" t="s">
        <v>25</v>
      </c>
      <c r="B6" s="14">
        <v>6.0600000000000001E-2</v>
      </c>
      <c r="C6" s="21" t="s">
        <v>26</v>
      </c>
    </row>
    <row r="7" spans="1:3" ht="15" customHeight="1" x14ac:dyDescent="0.2">
      <c r="A7" s="6" t="s">
        <v>27</v>
      </c>
      <c r="B7" s="24">
        <v>7.0000000000000007E-2</v>
      </c>
    </row>
    <row r="8" spans="1:3" ht="15" customHeight="1" x14ac:dyDescent="0.2">
      <c r="A8" s="6" t="s">
        <v>30</v>
      </c>
      <c r="B8" s="6">
        <v>1.1000000000000001</v>
      </c>
      <c r="C8" s="21" t="s">
        <v>31</v>
      </c>
    </row>
    <row r="11" spans="1:3" ht="18" x14ac:dyDescent="0.25">
      <c r="A11" s="28" t="s">
        <v>32</v>
      </c>
      <c r="B11" s="44">
        <f>B5+B6+B8*B7</f>
        <v>0.15740000000000001</v>
      </c>
    </row>
  </sheetData>
  <hyperlinks>
    <hyperlink ref="C5" r:id="rId1"/>
    <hyperlink ref="C6" r:id="rId2"/>
    <hyperlink ref="C8" r:id="rId3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workbookViewId="0"/>
  </sheetViews>
  <sheetFormatPr defaultColWidth="17.28515625" defaultRowHeight="15" customHeight="1" x14ac:dyDescent="0.2"/>
  <cols>
    <col min="1" max="1" width="30.42578125" customWidth="1"/>
    <col min="2" max="7" width="8.85546875" customWidth="1"/>
    <col min="9" max="9" width="19.140625" customWidth="1"/>
  </cols>
  <sheetData>
    <row r="1" spans="1:9" ht="15" customHeight="1" x14ac:dyDescent="0.2">
      <c r="A1" s="149" t="s">
        <v>226</v>
      </c>
    </row>
    <row r="2" spans="1:9" ht="6.95" customHeight="1" x14ac:dyDescent="0.2"/>
    <row r="3" spans="1:9" ht="15" customHeight="1" x14ac:dyDescent="0.2">
      <c r="A3" s="97"/>
      <c r="B3" s="97" t="s">
        <v>10</v>
      </c>
      <c r="C3" s="97" t="s">
        <v>13</v>
      </c>
      <c r="D3" s="97" t="s">
        <v>14</v>
      </c>
      <c r="E3" s="97" t="s">
        <v>15</v>
      </c>
      <c r="F3" s="97" t="s">
        <v>16</v>
      </c>
      <c r="G3" s="97" t="s">
        <v>17</v>
      </c>
    </row>
    <row r="4" spans="1:9" ht="15" customHeight="1" x14ac:dyDescent="0.2">
      <c r="A4" s="150" t="s">
        <v>229</v>
      </c>
      <c r="B4" s="151">
        <f t="shared" ref="B4:G4" si="0">B5*365</f>
        <v>0</v>
      </c>
      <c r="C4" s="151">
        <f t="shared" si="0"/>
        <v>15986.999999999998</v>
      </c>
      <c r="D4" s="151">
        <f t="shared" si="0"/>
        <v>78721.694002408622</v>
      </c>
      <c r="E4" s="151">
        <f t="shared" si="0"/>
        <v>154925.9133505736</v>
      </c>
      <c r="F4" s="151">
        <f t="shared" si="0"/>
        <v>425977.0505344671</v>
      </c>
      <c r="G4" s="151">
        <f t="shared" si="0"/>
        <v>760646.05787008198</v>
      </c>
    </row>
    <row r="5" spans="1:9" ht="15" customHeight="1" x14ac:dyDescent="0.2">
      <c r="A5" s="91" t="s">
        <v>230</v>
      </c>
      <c r="B5" s="113">
        <f t="shared" ref="B5:G5" si="1">B12*B7/1000</f>
        <v>0</v>
      </c>
      <c r="C5" s="113">
        <f t="shared" si="1"/>
        <v>43.8</v>
      </c>
      <c r="D5" s="113">
        <f t="shared" si="1"/>
        <v>215.6758739792017</v>
      </c>
      <c r="E5" s="113">
        <f t="shared" si="1"/>
        <v>424.45455712485915</v>
      </c>
      <c r="F5" s="113">
        <f t="shared" si="1"/>
        <v>1167.0604124231975</v>
      </c>
      <c r="G5" s="113">
        <f t="shared" si="1"/>
        <v>2083.9618023837861</v>
      </c>
    </row>
    <row r="6" spans="1:9" ht="15" customHeight="1" x14ac:dyDescent="0.2">
      <c r="A6" s="91" t="s">
        <v>21</v>
      </c>
      <c r="B6" s="91"/>
      <c r="C6" s="91"/>
      <c r="D6" s="116">
        <v>0.2</v>
      </c>
      <c r="E6" s="116">
        <v>0.25</v>
      </c>
      <c r="F6" s="116">
        <v>0.3</v>
      </c>
      <c r="G6" s="116">
        <v>0.35</v>
      </c>
      <c r="I6" s="6"/>
    </row>
    <row r="7" spans="1:9" ht="15" customHeight="1" x14ac:dyDescent="0.2">
      <c r="A7" s="91" t="s">
        <v>22</v>
      </c>
      <c r="B7" s="152">
        <v>1</v>
      </c>
      <c r="C7" s="152">
        <v>1</v>
      </c>
      <c r="D7" s="152">
        <f t="shared" ref="D7:G7" si="2">C7*(1+D6)</f>
        <v>1.2</v>
      </c>
      <c r="E7" s="152">
        <f t="shared" si="2"/>
        <v>1.5</v>
      </c>
      <c r="F7" s="152">
        <f t="shared" si="2"/>
        <v>1.9500000000000002</v>
      </c>
      <c r="G7" s="152">
        <f t="shared" si="2"/>
        <v>2.6325000000000003</v>
      </c>
      <c r="I7" s="6"/>
    </row>
    <row r="8" spans="1:9" ht="15" customHeight="1" x14ac:dyDescent="0.2">
      <c r="A8" s="91" t="s">
        <v>227</v>
      </c>
      <c r="B8" s="90">
        <v>0</v>
      </c>
      <c r="C8" s="86">
        <f>'Cash Flow'!D11</f>
        <v>73000</v>
      </c>
      <c r="D8" s="86">
        <f>'Cash Flow'!E11</f>
        <v>149774.91248555674</v>
      </c>
      <c r="E8" s="86">
        <f>'Cash Flow'!F11</f>
        <v>235808.0872915884</v>
      </c>
      <c r="F8" s="86">
        <f>'Cash Flow'!G11</f>
        <v>332495.84399521298</v>
      </c>
      <c r="G8" s="86">
        <f>'Cash Flow'!H11</f>
        <v>439793.56386700139</v>
      </c>
    </row>
    <row r="9" spans="1:9" ht="15" customHeight="1" x14ac:dyDescent="0.2">
      <c r="A9" s="91" t="s">
        <v>62</v>
      </c>
      <c r="B9" s="91">
        <v>1</v>
      </c>
      <c r="C9" s="91">
        <v>1</v>
      </c>
      <c r="D9" s="91">
        <v>2</v>
      </c>
      <c r="E9" s="91">
        <v>2</v>
      </c>
      <c r="F9" s="91">
        <v>3</v>
      </c>
      <c r="G9" s="91">
        <v>3</v>
      </c>
    </row>
    <row r="10" spans="1:9" ht="15" customHeight="1" x14ac:dyDescent="0.2">
      <c r="A10" s="91" t="s">
        <v>228</v>
      </c>
      <c r="B10" s="91">
        <v>2</v>
      </c>
      <c r="C10" s="91">
        <v>2</v>
      </c>
      <c r="D10" s="91">
        <v>2</v>
      </c>
      <c r="E10" s="91">
        <v>2</v>
      </c>
      <c r="F10" s="91">
        <v>2</v>
      </c>
      <c r="G10" s="91">
        <v>2</v>
      </c>
    </row>
    <row r="11" spans="1:9" ht="15" customHeight="1" x14ac:dyDescent="0.2">
      <c r="A11" s="91" t="s">
        <v>63</v>
      </c>
      <c r="B11" s="153">
        <v>0.3</v>
      </c>
      <c r="C11" s="153">
        <f t="shared" ref="C11:G11" si="3">B11</f>
        <v>0.3</v>
      </c>
      <c r="D11" s="153">
        <f t="shared" si="3"/>
        <v>0.3</v>
      </c>
      <c r="E11" s="153">
        <f t="shared" si="3"/>
        <v>0.3</v>
      </c>
      <c r="F11" s="153">
        <f t="shared" si="3"/>
        <v>0.3</v>
      </c>
      <c r="G11" s="153">
        <f t="shared" si="3"/>
        <v>0.3</v>
      </c>
    </row>
    <row r="12" spans="1:9" ht="15" customHeight="1" x14ac:dyDescent="0.2">
      <c r="A12" s="91" t="s">
        <v>68</v>
      </c>
      <c r="B12" s="86">
        <f t="shared" ref="B12:G12" si="4">B8*B9*B10*B11</f>
        <v>0</v>
      </c>
      <c r="C12" s="86">
        <f t="shared" si="4"/>
        <v>43800</v>
      </c>
      <c r="D12" s="86">
        <f t="shared" si="4"/>
        <v>179729.89498266808</v>
      </c>
      <c r="E12" s="86">
        <f t="shared" si="4"/>
        <v>282969.70474990609</v>
      </c>
      <c r="F12" s="86">
        <f t="shared" si="4"/>
        <v>598492.51919138327</v>
      </c>
      <c r="G12" s="86">
        <f t="shared" si="4"/>
        <v>791628.41496060253</v>
      </c>
    </row>
    <row r="14" spans="1:9" ht="15" customHeight="1" x14ac:dyDescent="0.2">
      <c r="A14" s="21" t="s">
        <v>96</v>
      </c>
    </row>
    <row r="15" spans="1:9" ht="15" customHeight="1" x14ac:dyDescent="0.2">
      <c r="A15" s="21" t="s">
        <v>97</v>
      </c>
    </row>
    <row r="16" spans="1:9" ht="15" customHeight="1" x14ac:dyDescent="0.2">
      <c r="A16" s="21" t="s">
        <v>98</v>
      </c>
    </row>
  </sheetData>
  <hyperlinks>
    <hyperlink ref="A14" r:id="rId1"/>
    <hyperlink ref="A15" r:id="rId2"/>
    <hyperlink ref="A16" r:id="rId3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showGridLines="0" workbookViewId="0"/>
  </sheetViews>
  <sheetFormatPr defaultColWidth="17.28515625" defaultRowHeight="15" customHeight="1" x14ac:dyDescent="0.2"/>
  <cols>
    <col min="1" max="1" width="35.85546875" style="160" bestFit="1" customWidth="1"/>
    <col min="2" max="7" width="11.85546875" style="160" customWidth="1"/>
    <col min="8" max="16384" width="17.28515625" style="160"/>
  </cols>
  <sheetData>
    <row r="1" spans="1:7" ht="15" customHeight="1" x14ac:dyDescent="0.2">
      <c r="A1" s="159" t="s">
        <v>232</v>
      </c>
    </row>
    <row r="2" spans="1:7" ht="6.95" customHeight="1" x14ac:dyDescent="0.2">
      <c r="A2" s="161"/>
    </row>
    <row r="3" spans="1:7" ht="15" customHeight="1" x14ac:dyDescent="0.2">
      <c r="A3" s="162" t="s">
        <v>231</v>
      </c>
      <c r="B3" s="163" t="s">
        <v>125</v>
      </c>
      <c r="C3" s="163" t="s">
        <v>129</v>
      </c>
      <c r="D3" s="163" t="s">
        <v>130</v>
      </c>
      <c r="E3" s="163" t="s">
        <v>131</v>
      </c>
      <c r="F3" s="163" t="s">
        <v>132</v>
      </c>
      <c r="G3" s="163" t="s">
        <v>133</v>
      </c>
    </row>
    <row r="4" spans="1:7" ht="15" customHeight="1" x14ac:dyDescent="0.2">
      <c r="A4" s="164" t="s">
        <v>233</v>
      </c>
      <c r="B4" s="165">
        <f>SUM(B5:B13)</f>
        <v>0</v>
      </c>
      <c r="C4" s="165">
        <f t="shared" ref="C4:G4" si="0">SUM(C5:C13)</f>
        <v>240000</v>
      </c>
      <c r="D4" s="165">
        <f t="shared" si="0"/>
        <v>414000.00000000012</v>
      </c>
      <c r="E4" s="165">
        <f t="shared" si="0"/>
        <v>455400.00000000012</v>
      </c>
      <c r="F4" s="165">
        <f t="shared" si="0"/>
        <v>500940.00000000012</v>
      </c>
      <c r="G4" s="165">
        <f t="shared" si="0"/>
        <v>551034.00000000023</v>
      </c>
    </row>
    <row r="5" spans="1:7" ht="15" customHeight="1" x14ac:dyDescent="0.2">
      <c r="A5" s="166" t="str">
        <f>+'Gastos de Administración'!A5</f>
        <v>Sueldo CEO</v>
      </c>
      <c r="B5" s="167">
        <f>+'Gastos de Administración'!B5</f>
        <v>0</v>
      </c>
      <c r="C5" s="167">
        <f>+'Gastos de Administración'!C5</f>
        <v>50000</v>
      </c>
      <c r="D5" s="167">
        <f>+'Gastos de Administración'!D5</f>
        <v>55000.000000000007</v>
      </c>
      <c r="E5" s="167">
        <f>+'Gastos de Administración'!E5</f>
        <v>60500.000000000015</v>
      </c>
      <c r="F5" s="167">
        <f>+'Gastos de Administración'!F5</f>
        <v>66550.000000000015</v>
      </c>
      <c r="G5" s="167">
        <f>+'Gastos de Administración'!G5</f>
        <v>73205.000000000029</v>
      </c>
    </row>
    <row r="6" spans="1:7" ht="15" customHeight="1" x14ac:dyDescent="0.2">
      <c r="A6" s="157" t="s">
        <v>80</v>
      </c>
      <c r="B6" s="167">
        <f>+'Gastos de Producción'!B5</f>
        <v>0</v>
      </c>
      <c r="C6" s="168">
        <f>+'Gastos de Producción'!C5</f>
        <v>50000</v>
      </c>
      <c r="D6" s="167">
        <f>+'Gastos de Producción'!D5</f>
        <v>55000.000000000007</v>
      </c>
      <c r="E6" s="167">
        <f>+'Gastos de Producción'!E5</f>
        <v>60500.000000000015</v>
      </c>
      <c r="F6" s="167">
        <f>+'Gastos de Producción'!F5</f>
        <v>66550.000000000015</v>
      </c>
      <c r="G6" s="167">
        <f>+'Gastos de Producción'!G5</f>
        <v>73205.000000000029</v>
      </c>
    </row>
    <row r="7" spans="1:7" ht="15" customHeight="1" x14ac:dyDescent="0.2">
      <c r="A7" s="157" t="s">
        <v>105</v>
      </c>
      <c r="B7" s="167">
        <f>+'Gastos de Producción'!B6</f>
        <v>0</v>
      </c>
      <c r="C7" s="168">
        <f>+'Gastos de Producción'!C6</f>
        <v>50000</v>
      </c>
      <c r="D7" s="167">
        <f>+'Gastos de Producción'!D6</f>
        <v>55000.000000000007</v>
      </c>
      <c r="E7" s="167">
        <f>+'Gastos de Producción'!E6</f>
        <v>60500.000000000015</v>
      </c>
      <c r="F7" s="167">
        <f>+'Gastos de Producción'!F6</f>
        <v>66550.000000000015</v>
      </c>
      <c r="G7" s="167">
        <f>+'Gastos de Producción'!G6</f>
        <v>73205.000000000029</v>
      </c>
    </row>
    <row r="8" spans="1:7" ht="15" customHeight="1" x14ac:dyDescent="0.2">
      <c r="A8" s="157" t="s">
        <v>106</v>
      </c>
      <c r="B8" s="167">
        <f>+'Gastos de Producción'!B7</f>
        <v>0</v>
      </c>
      <c r="C8" s="168">
        <f>+'Gastos de Producción'!C7</f>
        <v>40000</v>
      </c>
      <c r="D8" s="167">
        <f>+'Gastos de Producción'!D7</f>
        <v>44000</v>
      </c>
      <c r="E8" s="167">
        <f>+'Gastos de Producción'!E7</f>
        <v>48400.000000000007</v>
      </c>
      <c r="F8" s="167">
        <f>+'Gastos de Producción'!F7</f>
        <v>53240.000000000015</v>
      </c>
      <c r="G8" s="167">
        <f>+'Gastos de Producción'!G7</f>
        <v>58564.000000000022</v>
      </c>
    </row>
    <row r="9" spans="1:7" ht="15" customHeight="1" x14ac:dyDescent="0.2">
      <c r="A9" s="157" t="s">
        <v>107</v>
      </c>
      <c r="B9" s="167">
        <f>+'Gastos de Producción'!B8</f>
        <v>0</v>
      </c>
      <c r="C9" s="168">
        <f>+'Gastos de Producción'!C8</f>
        <v>0</v>
      </c>
      <c r="D9" s="167">
        <f>+'Gastos de Producción'!D8</f>
        <v>40000</v>
      </c>
      <c r="E9" s="167">
        <f>+'Gastos de Producción'!E8</f>
        <v>44000</v>
      </c>
      <c r="F9" s="167">
        <f>+'Gastos de Producción'!F8</f>
        <v>48400.000000000007</v>
      </c>
      <c r="G9" s="167">
        <f>+'Gastos de Producción'!G8</f>
        <v>53240.000000000015</v>
      </c>
    </row>
    <row r="10" spans="1:7" ht="15" customHeight="1" x14ac:dyDescent="0.2">
      <c r="A10" s="166" t="str">
        <f>+'Gastos de Marketing'!A5</f>
        <v>Sueldo CCO</v>
      </c>
      <c r="B10" s="167">
        <f>+'Gastos de Marketing'!B5</f>
        <v>0</v>
      </c>
      <c r="C10" s="168">
        <f>+'Gastos de Marketing'!C5</f>
        <v>50000</v>
      </c>
      <c r="D10" s="167">
        <f>+'Gastos de Marketing'!D5</f>
        <v>55000.000000000007</v>
      </c>
      <c r="E10" s="167">
        <f>+'Gastos de Marketing'!E5</f>
        <v>60500.000000000015</v>
      </c>
      <c r="F10" s="167">
        <f>+'Gastos de Marketing'!F5</f>
        <v>66550.000000000015</v>
      </c>
      <c r="G10" s="167">
        <f>+'Gastos de Marketing'!G5</f>
        <v>73205.000000000029</v>
      </c>
    </row>
    <row r="11" spans="1:7" ht="15" customHeight="1" x14ac:dyDescent="0.2">
      <c r="A11" s="166" t="str">
        <f>+'Gastos de Marketing'!A6</f>
        <v>Sueldo Vendedor 1</v>
      </c>
      <c r="B11" s="167">
        <f>+'Gastos de Marketing'!B6</f>
        <v>0</v>
      </c>
      <c r="C11" s="168">
        <f>+'Gastos de Marketing'!C6</f>
        <v>0</v>
      </c>
      <c r="D11" s="167">
        <f>+'Gastos de Marketing'!D6</f>
        <v>36666.666666666672</v>
      </c>
      <c r="E11" s="167">
        <f>+'Gastos de Marketing'!E6</f>
        <v>40333.333333333343</v>
      </c>
      <c r="F11" s="167">
        <f>+'Gastos de Marketing'!F6</f>
        <v>44366.666666666679</v>
      </c>
      <c r="G11" s="167">
        <f>+'Gastos de Marketing'!G6</f>
        <v>48803.33333333335</v>
      </c>
    </row>
    <row r="12" spans="1:7" ht="15" customHeight="1" x14ac:dyDescent="0.2">
      <c r="A12" s="166" t="str">
        <f>+'Gastos de Marketing'!A7</f>
        <v>Sueldo Vendedor 2</v>
      </c>
      <c r="B12" s="167">
        <f>+'Gastos de Marketing'!B7</f>
        <v>0</v>
      </c>
      <c r="C12" s="168">
        <f>+'Gastos de Marketing'!C7</f>
        <v>0</v>
      </c>
      <c r="D12" s="167">
        <f>+'Gastos de Marketing'!D7</f>
        <v>36666.666666666672</v>
      </c>
      <c r="E12" s="167">
        <f>+'Gastos de Marketing'!E7</f>
        <v>40333.333333333343</v>
      </c>
      <c r="F12" s="167">
        <f>+'Gastos de Marketing'!F7</f>
        <v>44366.666666666679</v>
      </c>
      <c r="G12" s="167">
        <f>+'Gastos de Marketing'!G7</f>
        <v>48803.33333333335</v>
      </c>
    </row>
    <row r="13" spans="1:7" ht="15" customHeight="1" x14ac:dyDescent="0.2">
      <c r="A13" s="166" t="str">
        <f>+'Gastos de Marketing'!A8</f>
        <v>Sueldo Vendedor 3</v>
      </c>
      <c r="B13" s="167">
        <f>+'Gastos de Marketing'!B8</f>
        <v>0</v>
      </c>
      <c r="C13" s="168">
        <f>+'Gastos de Marketing'!C8</f>
        <v>0</v>
      </c>
      <c r="D13" s="167">
        <f>+'Gastos de Marketing'!D8</f>
        <v>36666.666666666672</v>
      </c>
      <c r="E13" s="167">
        <f>+'Gastos de Marketing'!E8</f>
        <v>40333.333333333343</v>
      </c>
      <c r="F13" s="167">
        <f>+'Gastos de Marketing'!F8</f>
        <v>44366.666666666679</v>
      </c>
      <c r="G13" s="167">
        <f>+'Gastos de Marketing'!G8</f>
        <v>48803.33333333335</v>
      </c>
    </row>
    <row r="14" spans="1:7" ht="15" customHeight="1" x14ac:dyDescent="0.2">
      <c r="A14" s="166" t="str">
        <f>+'Gastos de Marketing'!A9</f>
        <v>Incentivo x Objetivos (hasta 2 sueldos)</v>
      </c>
      <c r="B14" s="167">
        <f>+'Gastos de Marketing'!B9</f>
        <v>0</v>
      </c>
      <c r="C14" s="168">
        <f>+'Gastos de Marketing'!C9</f>
        <v>0</v>
      </c>
      <c r="D14" s="167">
        <f>+'Gastos de Marketing'!D9</f>
        <v>18333.333333333336</v>
      </c>
      <c r="E14" s="167">
        <f>+'Gastos de Marketing'!E9</f>
        <v>20166.666666666672</v>
      </c>
      <c r="F14" s="167">
        <f>+'Gastos de Marketing'!F9</f>
        <v>22183.333333333339</v>
      </c>
      <c r="G14" s="167">
        <f>+'Gastos de Marketing'!G9</f>
        <v>24401.666666666675</v>
      </c>
    </row>
    <row r="15" spans="1:7" ht="15" customHeight="1" x14ac:dyDescent="0.2">
      <c r="A15" s="166"/>
      <c r="B15" s="167"/>
      <c r="C15" s="168"/>
      <c r="D15" s="167"/>
      <c r="E15" s="167"/>
      <c r="F15" s="167"/>
      <c r="G15" s="167"/>
    </row>
    <row r="16" spans="1:7" ht="15" customHeight="1" x14ac:dyDescent="0.2">
      <c r="A16" s="169" t="s">
        <v>234</v>
      </c>
      <c r="B16" s="170">
        <f>IF(ISERROR(B4/'Cash Flow'!C18),0,B4/'Cash Flow'!C18)</f>
        <v>0</v>
      </c>
      <c r="C16" s="170">
        <f>IF(ISERROR(C4/'Cash Flow'!D18),0,C4/'Cash Flow'!D18)</f>
        <v>15.012197410395949</v>
      </c>
      <c r="D16" s="170">
        <f>IF(ISERROR(D4/'Cash Flow'!E18),0,D4/'Cash Flow'!E18)</f>
        <v>0.3078147651202558</v>
      </c>
      <c r="E16" s="170">
        <f>IF(ISERROR(E4/'Cash Flow'!F18),0,E4/'Cash Flow'!F18)</f>
        <v>0.21309623445750239</v>
      </c>
      <c r="F16" s="170">
        <f>IF(ISERROR(F4/'Cash Flow'!G18),0,F4/'Cash Flow'!G18)</f>
        <v>0.15590397060315997</v>
      </c>
      <c r="G16" s="170">
        <f>IF(ISERROR(G4/'Cash Flow'!H18),0,G4/'Cash Flow'!H18)</f>
        <v>0.12405591172123122</v>
      </c>
    </row>
    <row r="17" spans="1:7" ht="15" customHeight="1" x14ac:dyDescent="0.2">
      <c r="A17" s="171" t="s">
        <v>235</v>
      </c>
      <c r="B17" s="172">
        <f>IF(ISERROR(B4/'Cash Flow'!C27),0,B4/'Cash Flow'!C27)</f>
        <v>0</v>
      </c>
      <c r="C17" s="172">
        <f>IF(ISERROR(C4/'Cash Flow'!D27),0,C4/'Cash Flow'!D27)</f>
        <v>0.35469199876921875</v>
      </c>
      <c r="D17" s="172">
        <f>IF(ISERROR(D4/'Cash Flow'!E27),0,D4/'Cash Flow'!E27)</f>
        <v>0.1944413255895493</v>
      </c>
      <c r="E17" s="172">
        <f>IF(ISERROR(E4/'Cash Flow'!F27),0,E4/'Cash Flow'!F27)</f>
        <v>0.23180296263013986</v>
      </c>
      <c r="F17" s="172">
        <f>IF(ISERROR(F4/'Cash Flow'!G27),0,F4/'Cash Flow'!G27)</f>
        <v>0.30132445247864753</v>
      </c>
      <c r="G17" s="172">
        <f>IF(ISERROR(G4/'Cash Flow'!H27),0,G4/'Cash Flow'!H27)</f>
        <v>0.30503525990233027</v>
      </c>
    </row>
    <row r="18" spans="1:7" ht="15" customHeight="1" x14ac:dyDescent="0.2">
      <c r="A18" s="173"/>
      <c r="B18" s="174"/>
      <c r="D18" s="174"/>
      <c r="E18" s="174"/>
      <c r="F18" s="174"/>
      <c r="G18" s="174"/>
    </row>
    <row r="19" spans="1:7" ht="15" customHeight="1" x14ac:dyDescent="0.2">
      <c r="A19" s="173"/>
      <c r="B19" s="174"/>
      <c r="C19" s="174"/>
      <c r="D19" s="174"/>
      <c r="E19" s="174"/>
      <c r="F19" s="174"/>
      <c r="G19" s="174"/>
    </row>
    <row r="20" spans="1:7" ht="15" customHeight="1" x14ac:dyDescent="0.2">
      <c r="A20" s="173"/>
      <c r="B20" s="174"/>
      <c r="C20" s="174"/>
      <c r="D20" s="174"/>
      <c r="E20" s="174"/>
      <c r="F20" s="174"/>
      <c r="G20" s="174"/>
    </row>
    <row r="21" spans="1:7" ht="15" customHeight="1" x14ac:dyDescent="0.2">
      <c r="A21" s="173"/>
      <c r="B21" s="174"/>
      <c r="C21" s="174"/>
      <c r="D21" s="174"/>
      <c r="E21" s="174"/>
      <c r="F21" s="174"/>
      <c r="G21" s="174"/>
    </row>
    <row r="22" spans="1:7" ht="15" customHeight="1" x14ac:dyDescent="0.2">
      <c r="A22" s="173"/>
      <c r="B22" s="174"/>
      <c r="C22" s="174"/>
      <c r="D22" s="174"/>
      <c r="E22" s="174"/>
      <c r="F22" s="174"/>
      <c r="G22" s="174"/>
    </row>
    <row r="23" spans="1:7" ht="15" customHeight="1" x14ac:dyDescent="0.2">
      <c r="B23" s="174"/>
      <c r="C23" s="174"/>
      <c r="D23" s="174"/>
      <c r="E23" s="174"/>
      <c r="F23" s="174"/>
      <c r="G23" s="174"/>
    </row>
    <row r="24" spans="1:7" ht="15" customHeight="1" x14ac:dyDescent="0.2">
      <c r="B24" s="174"/>
      <c r="C24" s="174"/>
      <c r="D24" s="174"/>
      <c r="E24" s="174"/>
      <c r="F24" s="174"/>
      <c r="G24" s="17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showGridLines="0" workbookViewId="0">
      <selection activeCell="I17" sqref="I17"/>
    </sheetView>
  </sheetViews>
  <sheetFormatPr defaultColWidth="17.28515625" defaultRowHeight="15" customHeight="1" x14ac:dyDescent="0.2"/>
  <cols>
    <col min="1" max="1" width="45.42578125" customWidth="1"/>
    <col min="2" max="7" width="11.85546875" customWidth="1"/>
    <col min="8" max="8" width="3.85546875" customWidth="1"/>
    <col min="9" max="9" width="41" customWidth="1"/>
    <col min="10" max="10" width="8" customWidth="1"/>
  </cols>
  <sheetData>
    <row r="1" spans="1:10" ht="15" customHeight="1" x14ac:dyDescent="0.2">
      <c r="A1" s="149" t="s">
        <v>9</v>
      </c>
    </row>
    <row r="2" spans="1:10" ht="6.95" customHeight="1" x14ac:dyDescent="0.2">
      <c r="A2" s="91"/>
    </row>
    <row r="3" spans="1:10" ht="15" customHeight="1" x14ac:dyDescent="0.2">
      <c r="A3" s="129" t="s">
        <v>231</v>
      </c>
      <c r="B3" s="97" t="s">
        <v>125</v>
      </c>
      <c r="C3" s="97" t="s">
        <v>129</v>
      </c>
      <c r="D3" s="97" t="s">
        <v>130</v>
      </c>
      <c r="E3" s="97" t="s">
        <v>131</v>
      </c>
      <c r="F3" s="97" t="s">
        <v>132</v>
      </c>
      <c r="G3" s="97" t="s">
        <v>133</v>
      </c>
    </row>
    <row r="4" spans="1:10" ht="15" customHeight="1" x14ac:dyDescent="0.2">
      <c r="A4" s="154" t="s">
        <v>18</v>
      </c>
      <c r="B4" s="155">
        <f t="shared" ref="B4:G4" si="0">SUM(B5:B23)</f>
        <v>0</v>
      </c>
      <c r="C4" s="156">
        <f t="shared" si="0"/>
        <v>180920</v>
      </c>
      <c r="D4" s="155">
        <f t="shared" si="0"/>
        <v>246920</v>
      </c>
      <c r="E4" s="155">
        <f t="shared" si="0"/>
        <v>274120</v>
      </c>
      <c r="F4" s="155">
        <f t="shared" si="0"/>
        <v>306260.00000000006</v>
      </c>
      <c r="G4" s="155">
        <f t="shared" si="0"/>
        <v>337534.00000000012</v>
      </c>
      <c r="I4" s="39" t="s">
        <v>55</v>
      </c>
      <c r="J4" s="47">
        <v>400</v>
      </c>
    </row>
    <row r="5" spans="1:10" ht="15" customHeight="1" x14ac:dyDescent="0.2">
      <c r="A5" s="157" t="s">
        <v>80</v>
      </c>
      <c r="B5" s="101"/>
      <c r="C5" s="103">
        <v>50000</v>
      </c>
      <c r="D5" s="101">
        <f t="shared" ref="D5:G5" si="1">C5*1.1</f>
        <v>55000.000000000007</v>
      </c>
      <c r="E5" s="101">
        <f t="shared" si="1"/>
        <v>60500.000000000015</v>
      </c>
      <c r="F5" s="101">
        <f t="shared" si="1"/>
        <v>66550.000000000015</v>
      </c>
      <c r="G5" s="101">
        <f t="shared" si="1"/>
        <v>73205.000000000029</v>
      </c>
      <c r="I5" s="59" t="s">
        <v>83</v>
      </c>
      <c r="J5" s="60">
        <v>100000</v>
      </c>
    </row>
    <row r="6" spans="1:10" ht="15" customHeight="1" x14ac:dyDescent="0.2">
      <c r="A6" s="157" t="s">
        <v>105</v>
      </c>
      <c r="B6" s="101"/>
      <c r="C6" s="103">
        <f t="shared" ref="C6:G6" si="2">C5</f>
        <v>50000</v>
      </c>
      <c r="D6" s="101">
        <f t="shared" si="2"/>
        <v>55000.000000000007</v>
      </c>
      <c r="E6" s="101">
        <f t="shared" si="2"/>
        <v>60500.000000000015</v>
      </c>
      <c r="F6" s="101">
        <f t="shared" si="2"/>
        <v>66550.000000000015</v>
      </c>
      <c r="G6" s="101">
        <f t="shared" si="2"/>
        <v>73205.000000000029</v>
      </c>
    </row>
    <row r="7" spans="1:10" ht="15" customHeight="1" x14ac:dyDescent="0.2">
      <c r="A7" s="157" t="s">
        <v>106</v>
      </c>
      <c r="B7" s="101"/>
      <c r="C7" s="103">
        <v>40000</v>
      </c>
      <c r="D7" s="101">
        <f t="shared" ref="D7:G7" si="3">C7*1.1</f>
        <v>44000</v>
      </c>
      <c r="E7" s="101">
        <f t="shared" si="3"/>
        <v>48400.000000000007</v>
      </c>
      <c r="F7" s="101">
        <f t="shared" si="3"/>
        <v>53240.000000000015</v>
      </c>
      <c r="G7" s="101">
        <f t="shared" si="3"/>
        <v>58564.000000000022</v>
      </c>
    </row>
    <row r="8" spans="1:10" ht="15" customHeight="1" x14ac:dyDescent="0.2">
      <c r="A8" s="157" t="s">
        <v>107</v>
      </c>
      <c r="B8" s="101"/>
      <c r="C8" s="103">
        <v>0</v>
      </c>
      <c r="D8" s="101">
        <v>40000</v>
      </c>
      <c r="E8" s="101">
        <f>D8*1.1</f>
        <v>44000</v>
      </c>
      <c r="F8" s="101">
        <f t="shared" ref="F8:G8" si="4">E7</f>
        <v>48400.000000000007</v>
      </c>
      <c r="G8" s="101">
        <f t="shared" si="4"/>
        <v>53240.000000000015</v>
      </c>
      <c r="I8" s="39" t="s">
        <v>110</v>
      </c>
      <c r="J8" s="47">
        <v>500</v>
      </c>
    </row>
    <row r="9" spans="1:10" ht="15" customHeight="1" x14ac:dyDescent="0.2">
      <c r="A9" s="157" t="s">
        <v>111</v>
      </c>
      <c r="B9" s="101"/>
      <c r="C9" s="103">
        <v>120</v>
      </c>
      <c r="D9" s="101">
        <f t="shared" ref="D9:G9" si="5">C9</f>
        <v>120</v>
      </c>
      <c r="E9" s="101">
        <f t="shared" si="5"/>
        <v>120</v>
      </c>
      <c r="F9" s="101">
        <f t="shared" si="5"/>
        <v>120</v>
      </c>
      <c r="G9" s="101">
        <f t="shared" si="5"/>
        <v>120</v>
      </c>
      <c r="I9" s="39" t="s">
        <v>112</v>
      </c>
      <c r="J9" s="47">
        <v>50</v>
      </c>
    </row>
    <row r="10" spans="1:10" ht="15" customHeight="1" x14ac:dyDescent="0.2">
      <c r="A10" s="157" t="s">
        <v>113</v>
      </c>
      <c r="B10" s="101"/>
      <c r="C10" s="103">
        <f>ROUND('Cash Flow'!D11/$J$5,0)*$J$4*12</f>
        <v>4800</v>
      </c>
      <c r="D10" s="101">
        <f>ROUND('Cash Flow'!E11/$J$5,0)*$J$4*12</f>
        <v>4800</v>
      </c>
      <c r="E10" s="101">
        <f>ROUND('Cash Flow'!F11/$J$5,0)*$J$4*12</f>
        <v>9600</v>
      </c>
      <c r="F10" s="101">
        <f>ROUND('Cash Flow'!G11/$J$5,0)*$J$4*12</f>
        <v>14400</v>
      </c>
      <c r="G10" s="101">
        <f>ROUND('Cash Flow'!H11/$J$5,0)*$J$4*12</f>
        <v>19200</v>
      </c>
    </row>
    <row r="11" spans="1:10" ht="15" customHeight="1" x14ac:dyDescent="0.2">
      <c r="A11" s="157" t="s">
        <v>116</v>
      </c>
      <c r="B11" s="101"/>
      <c r="C11" s="103">
        <v>0</v>
      </c>
      <c r="D11" s="101">
        <f>50*10*12</f>
        <v>6000</v>
      </c>
      <c r="E11" s="101">
        <f t="shared" ref="E11:F11" si="6">50*15*12</f>
        <v>9000</v>
      </c>
      <c r="F11" s="101">
        <f t="shared" si="6"/>
        <v>9000</v>
      </c>
      <c r="G11" s="101">
        <f>50*20*12</f>
        <v>12000</v>
      </c>
    </row>
    <row r="12" spans="1:10" ht="15" customHeight="1" x14ac:dyDescent="0.2">
      <c r="A12" s="157" t="s">
        <v>120</v>
      </c>
      <c r="B12" s="101"/>
      <c r="C12" s="103">
        <v>30000</v>
      </c>
      <c r="D12" s="101">
        <v>30000</v>
      </c>
      <c r="E12" s="101">
        <v>30000</v>
      </c>
      <c r="F12" s="101">
        <v>30000</v>
      </c>
      <c r="G12" s="101">
        <v>30000</v>
      </c>
    </row>
    <row r="13" spans="1:10" ht="15" customHeight="1" x14ac:dyDescent="0.2">
      <c r="A13" s="157" t="s">
        <v>124</v>
      </c>
      <c r="B13" s="101"/>
      <c r="C13" s="103">
        <f>$J$8*12</f>
        <v>6000</v>
      </c>
      <c r="D13" s="101">
        <f t="shared" ref="D13:E13" si="7">$J$8*12*2</f>
        <v>12000</v>
      </c>
      <c r="E13" s="101">
        <f t="shared" si="7"/>
        <v>12000</v>
      </c>
      <c r="F13" s="101">
        <f t="shared" ref="F13:G13" si="8">$J$8*12*3</f>
        <v>18000</v>
      </c>
      <c r="G13" s="101">
        <f t="shared" si="8"/>
        <v>18000</v>
      </c>
    </row>
    <row r="15" spans="1:10" ht="15" customHeight="1" x14ac:dyDescent="0.2">
      <c r="B15" s="29"/>
      <c r="D15" s="29"/>
      <c r="E15" s="29"/>
      <c r="F15" s="29"/>
      <c r="G15" s="29"/>
    </row>
    <row r="16" spans="1:10" ht="15" customHeight="1" x14ac:dyDescent="0.2">
      <c r="B16" s="29"/>
      <c r="C16" s="29"/>
      <c r="D16" s="29"/>
      <c r="E16" s="29"/>
      <c r="F16" s="29"/>
      <c r="G16" s="29"/>
    </row>
    <row r="17" spans="2:7" ht="15" customHeight="1" x14ac:dyDescent="0.2">
      <c r="B17" s="29"/>
      <c r="C17" s="29"/>
      <c r="D17" s="29"/>
      <c r="E17" s="29"/>
      <c r="F17" s="29"/>
      <c r="G17" s="29"/>
    </row>
    <row r="18" spans="2:7" ht="15" customHeight="1" x14ac:dyDescent="0.2">
      <c r="B18" s="29"/>
      <c r="C18" s="29"/>
      <c r="D18" s="29"/>
      <c r="E18" s="29"/>
      <c r="F18" s="29"/>
      <c r="G18" s="29"/>
    </row>
    <row r="19" spans="2:7" ht="15" customHeight="1" x14ac:dyDescent="0.2">
      <c r="B19" s="29"/>
      <c r="C19" s="29"/>
      <c r="D19" s="29"/>
      <c r="E19" s="29"/>
      <c r="F19" s="29"/>
      <c r="G19" s="29"/>
    </row>
    <row r="20" spans="2:7" ht="15" customHeight="1" x14ac:dyDescent="0.2">
      <c r="B20" s="29"/>
      <c r="C20" s="29"/>
      <c r="D20" s="29"/>
      <c r="E20" s="29"/>
      <c r="F20" s="29"/>
      <c r="G20" s="29"/>
    </row>
    <row r="21" spans="2:7" ht="15" customHeight="1" x14ac:dyDescent="0.2">
      <c r="B21" s="29"/>
      <c r="C21" s="29"/>
      <c r="D21" s="29"/>
      <c r="E21" s="29"/>
      <c r="F21" s="29"/>
      <c r="G21" s="2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0"/>
  <sheetViews>
    <sheetView showGridLines="0" workbookViewId="0">
      <selection activeCell="A3" sqref="A3:G16"/>
    </sheetView>
  </sheetViews>
  <sheetFormatPr defaultColWidth="17.28515625" defaultRowHeight="15" customHeight="1" x14ac:dyDescent="0.2"/>
  <cols>
    <col min="1" max="1" width="45.42578125" customWidth="1"/>
    <col min="2" max="7" width="11.85546875" customWidth="1"/>
    <col min="8" max="8" width="13.7109375" customWidth="1"/>
  </cols>
  <sheetData>
    <row r="1" spans="1:9" ht="15" customHeight="1" x14ac:dyDescent="0.2">
      <c r="A1" s="149" t="s">
        <v>11</v>
      </c>
    </row>
    <row r="2" spans="1:9" ht="6.95" customHeight="1" x14ac:dyDescent="0.2"/>
    <row r="3" spans="1:9" ht="15" customHeight="1" x14ac:dyDescent="0.2">
      <c r="A3" s="129" t="s">
        <v>231</v>
      </c>
      <c r="B3" s="97" t="s">
        <v>125</v>
      </c>
      <c r="C3" s="97" t="s">
        <v>129</v>
      </c>
      <c r="D3" s="97" t="s">
        <v>130</v>
      </c>
      <c r="E3" s="97" t="s">
        <v>131</v>
      </c>
      <c r="F3" s="97" t="s">
        <v>132</v>
      </c>
      <c r="G3" s="97" t="s">
        <v>133</v>
      </c>
    </row>
    <row r="4" spans="1:9" ht="15" customHeight="1" x14ac:dyDescent="0.2">
      <c r="A4" s="154" t="s">
        <v>28</v>
      </c>
      <c r="B4" s="155">
        <f t="shared" ref="B4:G4" si="0">SUM(B5:B17)</f>
        <v>0</v>
      </c>
      <c r="C4" s="156">
        <f t="shared" si="0"/>
        <v>423000</v>
      </c>
      <c r="D4" s="155">
        <f t="shared" si="0"/>
        <v>1795726.8087698449</v>
      </c>
      <c r="E4" s="155">
        <f t="shared" si="0"/>
        <v>1567625.5669461188</v>
      </c>
      <c r="F4" s="155">
        <f t="shared" si="0"/>
        <v>1205279.500232711</v>
      </c>
      <c r="G4" s="155">
        <f t="shared" si="0"/>
        <v>1289333.0144141917</v>
      </c>
    </row>
    <row r="5" spans="1:9" ht="15" customHeight="1" x14ac:dyDescent="0.2">
      <c r="A5" s="157" t="s">
        <v>48</v>
      </c>
      <c r="B5" s="101"/>
      <c r="C5" s="103">
        <v>50000</v>
      </c>
      <c r="D5" s="101">
        <f t="shared" ref="D5:G5" si="1">C5*1.1</f>
        <v>55000.000000000007</v>
      </c>
      <c r="E5" s="101">
        <f t="shared" si="1"/>
        <v>60500.000000000015</v>
      </c>
      <c r="F5" s="101">
        <f t="shared" si="1"/>
        <v>66550.000000000015</v>
      </c>
      <c r="G5" s="101">
        <f t="shared" si="1"/>
        <v>73205.000000000029</v>
      </c>
    </row>
    <row r="6" spans="1:9" ht="15" customHeight="1" x14ac:dyDescent="0.2">
      <c r="A6" s="157" t="s">
        <v>64</v>
      </c>
      <c r="B6" s="101"/>
      <c r="C6" s="103"/>
      <c r="D6" s="101">
        <f t="shared" ref="D6:G6" si="2">D$5*2/3</f>
        <v>36666.666666666672</v>
      </c>
      <c r="E6" s="101">
        <f t="shared" si="2"/>
        <v>40333.333333333343</v>
      </c>
      <c r="F6" s="101">
        <f t="shared" si="2"/>
        <v>44366.666666666679</v>
      </c>
      <c r="G6" s="101">
        <f t="shared" si="2"/>
        <v>48803.33333333335</v>
      </c>
    </row>
    <row r="7" spans="1:9" ht="15" customHeight="1" x14ac:dyDescent="0.2">
      <c r="A7" s="157" t="s">
        <v>65</v>
      </c>
      <c r="B7" s="101"/>
      <c r="C7" s="103"/>
      <c r="D7" s="101">
        <f t="shared" ref="D7:G7" si="3">D$5*2/3</f>
        <v>36666.666666666672</v>
      </c>
      <c r="E7" s="101">
        <f t="shared" si="3"/>
        <v>40333.333333333343</v>
      </c>
      <c r="F7" s="101">
        <f t="shared" si="3"/>
        <v>44366.666666666679</v>
      </c>
      <c r="G7" s="101">
        <f t="shared" si="3"/>
        <v>48803.33333333335</v>
      </c>
    </row>
    <row r="8" spans="1:9" ht="15" customHeight="1" x14ac:dyDescent="0.2">
      <c r="A8" s="157" t="s">
        <v>66</v>
      </c>
      <c r="B8" s="101"/>
      <c r="C8" s="103"/>
      <c r="D8" s="101">
        <f t="shared" ref="D8:G8" si="4">D$5*2/3</f>
        <v>36666.666666666672</v>
      </c>
      <c r="E8" s="101">
        <f t="shared" si="4"/>
        <v>40333.333333333343</v>
      </c>
      <c r="F8" s="101">
        <f t="shared" si="4"/>
        <v>44366.666666666679</v>
      </c>
      <c r="G8" s="101">
        <f t="shared" si="4"/>
        <v>48803.33333333335</v>
      </c>
    </row>
    <row r="9" spans="1:9" ht="15" customHeight="1" x14ac:dyDescent="0.2">
      <c r="A9" s="157" t="s">
        <v>67</v>
      </c>
      <c r="B9" s="101"/>
      <c r="C9" s="103"/>
      <c r="D9" s="101">
        <f t="shared" ref="D9:G9" si="5">(D7/12)*2*3</f>
        <v>18333.333333333336</v>
      </c>
      <c r="E9" s="101">
        <f t="shared" si="5"/>
        <v>20166.666666666672</v>
      </c>
      <c r="F9" s="101">
        <f t="shared" si="5"/>
        <v>22183.333333333339</v>
      </c>
      <c r="G9" s="101">
        <f t="shared" si="5"/>
        <v>24401.666666666675</v>
      </c>
    </row>
    <row r="10" spans="1:9" ht="15" customHeight="1" x14ac:dyDescent="0.2">
      <c r="A10" s="157" t="s">
        <v>69</v>
      </c>
      <c r="B10" s="101"/>
      <c r="C10" s="103">
        <v>10000</v>
      </c>
      <c r="D10" s="101">
        <f t="shared" ref="D10:G10" si="6">C10</f>
        <v>10000</v>
      </c>
      <c r="E10" s="101">
        <f t="shared" si="6"/>
        <v>10000</v>
      </c>
      <c r="F10" s="101">
        <f t="shared" si="6"/>
        <v>10000</v>
      </c>
      <c r="G10" s="101">
        <f t="shared" si="6"/>
        <v>10000</v>
      </c>
      <c r="I10" s="158"/>
    </row>
    <row r="11" spans="1:9" ht="15" customHeight="1" x14ac:dyDescent="0.2">
      <c r="A11" s="157" t="s">
        <v>72</v>
      </c>
      <c r="B11" s="101"/>
      <c r="C11" s="103">
        <v>3000</v>
      </c>
      <c r="D11" s="101">
        <v>3000</v>
      </c>
      <c r="E11" s="101">
        <v>3000</v>
      </c>
      <c r="F11" s="101">
        <v>3000</v>
      </c>
      <c r="G11" s="101">
        <v>3000</v>
      </c>
    </row>
    <row r="12" spans="1:9" ht="15" customHeight="1" x14ac:dyDescent="0.2">
      <c r="A12" s="157" t="s">
        <v>100</v>
      </c>
      <c r="B12" s="101"/>
      <c r="C12" s="103">
        <f>SUM('Cash Flow'!D8:D9)*'Cash Flow'!$K$24</f>
        <v>360000</v>
      </c>
      <c r="D12" s="101">
        <f>SUM('Cash Flow'!E8:E9)*'Cash Flow'!$K$24</f>
        <v>0</v>
      </c>
      <c r="E12" s="101">
        <f>SUM('Cash Flow'!F8:F9)*'Cash Flow'!$K$24</f>
        <v>0</v>
      </c>
      <c r="F12" s="101">
        <f>SUM('Cash Flow'!G8:G9)*'Cash Flow'!$K$24</f>
        <v>0</v>
      </c>
      <c r="G12" s="101">
        <f>SUM('Cash Flow'!H8:H9)*'Cash Flow'!$K$24</f>
        <v>0</v>
      </c>
    </row>
    <row r="13" spans="1:9" ht="15" customHeight="1" x14ac:dyDescent="0.2">
      <c r="A13" s="157" t="s">
        <v>104</v>
      </c>
      <c r="B13" s="101"/>
      <c r="C13" s="103"/>
      <c r="D13" s="101">
        <f>SUM('Cash Flow'!E11-'Cash Flow'!D11)*'Cash Flow'!$K$24</f>
        <v>383874.56242778368</v>
      </c>
      <c r="E13" s="101">
        <f>SUM('Cash Flow'!F11-'Cash Flow'!E11)*'Cash Flow'!$K$24</f>
        <v>430165.87403015827</v>
      </c>
      <c r="F13" s="101">
        <f>SUM('Cash Flow'!G11-'Cash Flow'!F11)*'Cash Flow'!$K$24</f>
        <v>483438.78351812297</v>
      </c>
      <c r="G13" s="101">
        <f>SUM('Cash Flow'!H11-'Cash Flow'!G11)*'Cash Flow'!$K$24</f>
        <v>536488.59935894201</v>
      </c>
    </row>
    <row r="14" spans="1:9" ht="15" customHeight="1" x14ac:dyDescent="0.2">
      <c r="A14" s="157" t="s">
        <v>109</v>
      </c>
      <c r="B14" s="101"/>
      <c r="C14" s="103">
        <f>'Cash Flow'!D10*'Cash Flow'!$K$25</f>
        <v>0</v>
      </c>
      <c r="D14" s="101">
        <f>SUM(Viralization!F45:F55)*'Cash Flow'!K25</f>
        <v>585518.91300872783</v>
      </c>
      <c r="E14" s="101">
        <f>SUM(Viralization!F56:F67)*'Cash Flow'!K25</f>
        <v>322793.02624929399</v>
      </c>
      <c r="F14" s="101">
        <f>SUM(Viralization!F68:F79)*'Cash Flow'!K25</f>
        <v>357007.38338125456</v>
      </c>
      <c r="G14" s="101">
        <f>SUM(Viralization!F80:F91)*'Cash Flow'!K25</f>
        <v>395827.74838858296</v>
      </c>
    </row>
    <row r="15" spans="1:9" ht="15" customHeight="1" x14ac:dyDescent="0.2">
      <c r="A15" s="157" t="s">
        <v>117</v>
      </c>
      <c r="B15" s="101"/>
      <c r="C15" s="103"/>
      <c r="D15" s="101">
        <v>600000</v>
      </c>
      <c r="E15" s="101">
        <v>600000</v>
      </c>
      <c r="F15" s="101">
        <v>100000</v>
      </c>
      <c r="G15" s="101">
        <v>100000</v>
      </c>
    </row>
    <row r="16" spans="1:9" ht="15" customHeight="1" x14ac:dyDescent="0.2">
      <c r="A16" s="157" t="s">
        <v>118</v>
      </c>
      <c r="B16" s="101"/>
      <c r="C16" s="103"/>
      <c r="D16" s="101">
        <v>30000</v>
      </c>
      <c r="E16" s="101"/>
      <c r="F16" s="101">
        <v>30000</v>
      </c>
      <c r="G16" s="101"/>
    </row>
    <row r="17" spans="1:7" ht="15" customHeight="1" x14ac:dyDescent="0.2">
      <c r="A17" s="6"/>
      <c r="B17" s="29"/>
      <c r="C17" s="29"/>
      <c r="D17" s="29"/>
      <c r="E17" s="29"/>
      <c r="F17" s="29"/>
      <c r="G17" s="29"/>
    </row>
    <row r="18" spans="1:7" ht="15" customHeight="1" x14ac:dyDescent="0.2">
      <c r="A18" s="6" t="s">
        <v>119</v>
      </c>
      <c r="B18" s="29"/>
      <c r="C18" s="64">
        <f>SUM(C10:C15)/'Cash Flow'!D11</f>
        <v>5.1095890410958908</v>
      </c>
      <c r="D18" s="64">
        <f>SUM(D10:D15)/'Cash Flow'!E11</f>
        <v>10.565143715834964</v>
      </c>
      <c r="E18" s="64">
        <f>SUM(E10:E15)/'Cash Flow'!F11</f>
        <v>5.7926719815609058</v>
      </c>
      <c r="F18" s="64">
        <f>SUM(F10:F15)/'Cash Flow'!G11</f>
        <v>2.8675431110444332</v>
      </c>
      <c r="G18" s="64">
        <f>SUM(G10:G15)/'Cash Flow'!H11</f>
        <v>2.3768341186176172</v>
      </c>
    </row>
    <row r="19" spans="1:7" ht="15" customHeight="1" x14ac:dyDescent="0.2">
      <c r="A19" s="18" t="s">
        <v>12</v>
      </c>
      <c r="B19" s="20">
        <v>0</v>
      </c>
      <c r="C19" s="20">
        <f>C4/'Cash Flow'!D18</f>
        <v>26.458997935822858</v>
      </c>
      <c r="D19" s="20">
        <f>D4/'Cash Flow'!E18</f>
        <v>1.3351478885546768</v>
      </c>
      <c r="E19" s="20">
        <f>E4/'Cash Flow'!F18</f>
        <v>0.73354217249785947</v>
      </c>
      <c r="F19" s="20">
        <f>F4/'Cash Flow'!G18</f>
        <v>0.37511051178359056</v>
      </c>
      <c r="G19" s="20">
        <f>G4/'Cash Flow'!H18</f>
        <v>0.29027134916436342</v>
      </c>
    </row>
    <row r="20" spans="1:7" ht="15" customHeight="1" x14ac:dyDescent="0.2">
      <c r="A20" s="6"/>
    </row>
    <row r="21" spans="1:7" ht="15" customHeight="1" x14ac:dyDescent="0.2">
      <c r="A21" s="6"/>
    </row>
    <row r="22" spans="1:7" ht="15" customHeight="1" x14ac:dyDescent="0.2">
      <c r="A22" s="6"/>
    </row>
    <row r="23" spans="1:7" ht="15" customHeight="1" x14ac:dyDescent="0.2">
      <c r="A23" s="6"/>
    </row>
    <row r="24" spans="1:7" ht="12.75" x14ac:dyDescent="0.2">
      <c r="A24" s="6"/>
    </row>
    <row r="25" spans="1:7" ht="12.75" x14ac:dyDescent="0.2">
      <c r="A25" s="6"/>
    </row>
    <row r="26" spans="1:7" ht="12.75" x14ac:dyDescent="0.2">
      <c r="A26" s="6"/>
    </row>
    <row r="27" spans="1:7" ht="12.75" x14ac:dyDescent="0.2">
      <c r="A27" s="6"/>
    </row>
    <row r="28" spans="1:7" ht="12.75" x14ac:dyDescent="0.2">
      <c r="A28" s="6"/>
    </row>
    <row r="29" spans="1:7" ht="12.75" x14ac:dyDescent="0.2">
      <c r="A29" s="6"/>
    </row>
    <row r="30" spans="1:7" ht="12.75" x14ac:dyDescent="0.2">
      <c r="A30" s="6"/>
    </row>
    <row r="31" spans="1:7" ht="12.75" x14ac:dyDescent="0.2">
      <c r="A31" s="6"/>
    </row>
    <row r="32" spans="1:7" ht="12.75" x14ac:dyDescent="0.2">
      <c r="A32" s="6"/>
    </row>
    <row r="33" spans="1:1" ht="12.75" x14ac:dyDescent="0.2">
      <c r="A33" s="6"/>
    </row>
    <row r="34" spans="1:1" ht="12.75" x14ac:dyDescent="0.2">
      <c r="A34" s="6"/>
    </row>
    <row r="35" spans="1:1" ht="12.75" x14ac:dyDescent="0.2">
      <c r="A35" s="6"/>
    </row>
    <row r="36" spans="1:1" ht="12.75" x14ac:dyDescent="0.2">
      <c r="A36" s="6"/>
    </row>
    <row r="37" spans="1:1" ht="12.75" x14ac:dyDescent="0.2">
      <c r="A37" s="6"/>
    </row>
    <row r="38" spans="1:1" ht="12.75" x14ac:dyDescent="0.2">
      <c r="A38" s="6"/>
    </row>
    <row r="39" spans="1:1" ht="12.75" x14ac:dyDescent="0.2">
      <c r="A39" s="6"/>
    </row>
    <row r="40" spans="1:1" ht="12.75" x14ac:dyDescent="0.2">
      <c r="A40" s="6"/>
    </row>
    <row r="41" spans="1:1" ht="12.75" x14ac:dyDescent="0.2">
      <c r="A41" s="6"/>
    </row>
    <row r="42" spans="1:1" ht="12.75" x14ac:dyDescent="0.2">
      <c r="A42" s="6"/>
    </row>
    <row r="43" spans="1:1" ht="12.75" x14ac:dyDescent="0.2">
      <c r="A43" s="6"/>
    </row>
    <row r="44" spans="1:1" ht="12.75" x14ac:dyDescent="0.2">
      <c r="A44" s="6"/>
    </row>
    <row r="45" spans="1:1" ht="12.75" x14ac:dyDescent="0.2">
      <c r="A45" s="6"/>
    </row>
    <row r="46" spans="1:1" ht="12.75" x14ac:dyDescent="0.2">
      <c r="A46" s="6"/>
    </row>
    <row r="47" spans="1:1" ht="12.75" x14ac:dyDescent="0.2">
      <c r="A47" s="6"/>
    </row>
    <row r="48" spans="1:1" ht="12.75" x14ac:dyDescent="0.2">
      <c r="A48" s="6"/>
    </row>
    <row r="49" spans="1:1" ht="12.75" x14ac:dyDescent="0.2">
      <c r="A49" s="6"/>
    </row>
    <row r="50" spans="1:1" ht="12.75" x14ac:dyDescent="0.2">
      <c r="A50" s="6"/>
    </row>
    <row r="51" spans="1:1" ht="12.75" x14ac:dyDescent="0.2">
      <c r="A51" s="6"/>
    </row>
    <row r="52" spans="1:1" ht="12.75" x14ac:dyDescent="0.2">
      <c r="A52" s="6"/>
    </row>
    <row r="53" spans="1:1" ht="12.75" x14ac:dyDescent="0.2">
      <c r="A53" s="6"/>
    </row>
    <row r="54" spans="1:1" ht="12.75" x14ac:dyDescent="0.2">
      <c r="A54" s="6"/>
    </row>
    <row r="55" spans="1:1" ht="12.75" x14ac:dyDescent="0.2">
      <c r="A55" s="6"/>
    </row>
    <row r="56" spans="1:1" ht="12.75" x14ac:dyDescent="0.2">
      <c r="A56" s="6"/>
    </row>
    <row r="57" spans="1:1" ht="12.75" x14ac:dyDescent="0.2">
      <c r="A57" s="6"/>
    </row>
    <row r="58" spans="1:1" ht="12.75" x14ac:dyDescent="0.2">
      <c r="A58" s="6"/>
    </row>
    <row r="59" spans="1:1" ht="12.75" x14ac:dyDescent="0.2">
      <c r="A59" s="6"/>
    </row>
    <row r="60" spans="1:1" ht="12.75" x14ac:dyDescent="0.2">
      <c r="A60" s="6"/>
    </row>
    <row r="61" spans="1:1" ht="12.75" x14ac:dyDescent="0.2">
      <c r="A61" s="6"/>
    </row>
    <row r="62" spans="1:1" ht="12.75" x14ac:dyDescent="0.2">
      <c r="A62" s="6"/>
    </row>
    <row r="63" spans="1:1" ht="12.75" x14ac:dyDescent="0.2">
      <c r="A63" s="6"/>
    </row>
    <row r="64" spans="1:1" ht="12.75" x14ac:dyDescent="0.2">
      <c r="A64" s="6"/>
    </row>
    <row r="65" spans="1:1" ht="12.75" x14ac:dyDescent="0.2">
      <c r="A65" s="6"/>
    </row>
    <row r="66" spans="1:1" ht="12.75" x14ac:dyDescent="0.2">
      <c r="A66" s="6"/>
    </row>
    <row r="67" spans="1:1" ht="12.75" x14ac:dyDescent="0.2">
      <c r="A67" s="6"/>
    </row>
    <row r="68" spans="1:1" ht="12.75" x14ac:dyDescent="0.2">
      <c r="A68" s="6"/>
    </row>
    <row r="69" spans="1:1" ht="12.75" x14ac:dyDescent="0.2">
      <c r="A69" s="6"/>
    </row>
    <row r="70" spans="1:1" ht="12.75" x14ac:dyDescent="0.2">
      <c r="A70" s="6"/>
    </row>
    <row r="71" spans="1:1" ht="12.75" x14ac:dyDescent="0.2">
      <c r="A71" s="6"/>
    </row>
    <row r="72" spans="1:1" ht="12.75" x14ac:dyDescent="0.2">
      <c r="A72" s="6"/>
    </row>
    <row r="73" spans="1:1" ht="12.75" x14ac:dyDescent="0.2">
      <c r="A73" s="6"/>
    </row>
    <row r="74" spans="1:1" ht="12.75" x14ac:dyDescent="0.2">
      <c r="A74" s="6"/>
    </row>
    <row r="75" spans="1:1" ht="12.75" x14ac:dyDescent="0.2">
      <c r="A75" s="6"/>
    </row>
    <row r="76" spans="1:1" ht="12.75" x14ac:dyDescent="0.2">
      <c r="A76" s="6"/>
    </row>
    <row r="77" spans="1:1" ht="12.75" x14ac:dyDescent="0.2">
      <c r="A77" s="6"/>
    </row>
    <row r="78" spans="1:1" ht="12.75" x14ac:dyDescent="0.2">
      <c r="A78" s="6"/>
    </row>
    <row r="79" spans="1:1" ht="12.75" x14ac:dyDescent="0.2">
      <c r="A79" s="6"/>
    </row>
    <row r="80" spans="1:1" ht="12.75" x14ac:dyDescent="0.2">
      <c r="A80" s="6"/>
    </row>
    <row r="81" spans="1:1" ht="12.75" x14ac:dyDescent="0.2">
      <c r="A81" s="6"/>
    </row>
    <row r="82" spans="1:1" ht="12.75" x14ac:dyDescent="0.2">
      <c r="A82" s="6"/>
    </row>
    <row r="83" spans="1:1" ht="12.75" x14ac:dyDescent="0.2">
      <c r="A83" s="6"/>
    </row>
    <row r="84" spans="1:1" ht="12.75" x14ac:dyDescent="0.2">
      <c r="A84" s="6"/>
    </row>
    <row r="85" spans="1:1" ht="12.75" x14ac:dyDescent="0.2">
      <c r="A85" s="6"/>
    </row>
    <row r="86" spans="1:1" ht="12.75" x14ac:dyDescent="0.2">
      <c r="A86" s="6"/>
    </row>
    <row r="87" spans="1:1" ht="12.75" x14ac:dyDescent="0.2">
      <c r="A87" s="6"/>
    </row>
    <row r="88" spans="1:1" ht="12.75" x14ac:dyDescent="0.2">
      <c r="A88" s="6"/>
    </row>
    <row r="89" spans="1:1" ht="12.75" x14ac:dyDescent="0.2">
      <c r="A89" s="6"/>
    </row>
    <row r="90" spans="1:1" ht="12.75" x14ac:dyDescent="0.2">
      <c r="A90" s="6"/>
    </row>
    <row r="91" spans="1:1" ht="12.75" x14ac:dyDescent="0.2">
      <c r="A91" s="6"/>
    </row>
    <row r="92" spans="1:1" ht="12.75" x14ac:dyDescent="0.2">
      <c r="A92" s="6"/>
    </row>
    <row r="93" spans="1:1" ht="12.75" x14ac:dyDescent="0.2">
      <c r="A93" s="6"/>
    </row>
    <row r="94" spans="1:1" ht="12.75" x14ac:dyDescent="0.2">
      <c r="A94" s="6"/>
    </row>
    <row r="95" spans="1:1" ht="12.75" x14ac:dyDescent="0.2">
      <c r="A95" s="6"/>
    </row>
    <row r="96" spans="1:1" ht="12.75" x14ac:dyDescent="0.2">
      <c r="A96" s="6"/>
    </row>
    <row r="97" spans="1:1" ht="12.75" x14ac:dyDescent="0.2">
      <c r="A97" s="6"/>
    </row>
    <row r="98" spans="1:1" ht="12.75" x14ac:dyDescent="0.2">
      <c r="A98" s="6"/>
    </row>
    <row r="99" spans="1:1" ht="12.75" x14ac:dyDescent="0.2">
      <c r="A99" s="6"/>
    </row>
    <row r="100" spans="1:1" ht="12.75" x14ac:dyDescent="0.2">
      <c r="A100" s="6"/>
    </row>
    <row r="101" spans="1:1" ht="12.75" x14ac:dyDescent="0.2">
      <c r="A101" s="6"/>
    </row>
    <row r="102" spans="1:1" ht="12.75" x14ac:dyDescent="0.2">
      <c r="A102" s="6"/>
    </row>
    <row r="103" spans="1:1" ht="12.75" x14ac:dyDescent="0.2">
      <c r="A103" s="6"/>
    </row>
    <row r="104" spans="1:1" ht="12.75" x14ac:dyDescent="0.2">
      <c r="A104" s="6"/>
    </row>
    <row r="105" spans="1:1" ht="12.75" x14ac:dyDescent="0.2">
      <c r="A105" s="6"/>
    </row>
    <row r="106" spans="1:1" ht="12.75" x14ac:dyDescent="0.2">
      <c r="A106" s="6"/>
    </row>
    <row r="107" spans="1:1" ht="12.75" x14ac:dyDescent="0.2">
      <c r="A107" s="6"/>
    </row>
    <row r="108" spans="1:1" ht="12.75" x14ac:dyDescent="0.2">
      <c r="A108" s="6"/>
    </row>
    <row r="109" spans="1:1" ht="12.75" x14ac:dyDescent="0.2">
      <c r="A109" s="6"/>
    </row>
    <row r="110" spans="1:1" ht="12.75" x14ac:dyDescent="0.2">
      <c r="A110" s="6"/>
    </row>
    <row r="111" spans="1:1" ht="12.75" x14ac:dyDescent="0.2">
      <c r="A111" s="6"/>
    </row>
    <row r="112" spans="1:1" ht="12.75" x14ac:dyDescent="0.2">
      <c r="A112" s="6"/>
    </row>
    <row r="113" spans="1:1" ht="12.75" x14ac:dyDescent="0.2">
      <c r="A113" s="6"/>
    </row>
    <row r="114" spans="1:1" ht="12.75" x14ac:dyDescent="0.2">
      <c r="A114" s="6"/>
    </row>
    <row r="115" spans="1:1" ht="12.75" x14ac:dyDescent="0.2">
      <c r="A115" s="6"/>
    </row>
    <row r="116" spans="1:1" ht="12.75" x14ac:dyDescent="0.2">
      <c r="A116" s="6"/>
    </row>
    <row r="117" spans="1:1" ht="12.75" x14ac:dyDescent="0.2">
      <c r="A117" s="6"/>
    </row>
    <row r="118" spans="1:1" ht="12.75" x14ac:dyDescent="0.2">
      <c r="A118" s="6"/>
    </row>
    <row r="119" spans="1:1" ht="12.75" x14ac:dyDescent="0.2">
      <c r="A119" s="6"/>
    </row>
    <row r="120" spans="1:1" ht="12.75" x14ac:dyDescent="0.2">
      <c r="A120" s="6"/>
    </row>
    <row r="121" spans="1:1" ht="12.75" x14ac:dyDescent="0.2">
      <c r="A121" s="6"/>
    </row>
    <row r="122" spans="1:1" ht="12.75" x14ac:dyDescent="0.2">
      <c r="A122" s="6"/>
    </row>
    <row r="123" spans="1:1" ht="12.75" x14ac:dyDescent="0.2">
      <c r="A123" s="6"/>
    </row>
    <row r="124" spans="1:1" ht="12.75" x14ac:dyDescent="0.2">
      <c r="A124" s="6"/>
    </row>
    <row r="125" spans="1:1" ht="12.75" x14ac:dyDescent="0.2">
      <c r="A125" s="6"/>
    </row>
    <row r="126" spans="1:1" ht="12.75" x14ac:dyDescent="0.2">
      <c r="A126" s="6"/>
    </row>
    <row r="127" spans="1:1" ht="12.75" x14ac:dyDescent="0.2">
      <c r="A127" s="6"/>
    </row>
    <row r="128" spans="1:1" ht="12.75" x14ac:dyDescent="0.2">
      <c r="A128" s="6"/>
    </row>
    <row r="129" spans="1:1" ht="12.75" x14ac:dyDescent="0.2">
      <c r="A129" s="6"/>
    </row>
    <row r="130" spans="1:1" ht="12.75" x14ac:dyDescent="0.2">
      <c r="A130" s="6"/>
    </row>
    <row r="131" spans="1:1" ht="12.75" x14ac:dyDescent="0.2">
      <c r="A131" s="6"/>
    </row>
    <row r="132" spans="1:1" ht="12.75" x14ac:dyDescent="0.2">
      <c r="A132" s="6"/>
    </row>
    <row r="133" spans="1:1" ht="12.75" x14ac:dyDescent="0.2">
      <c r="A133" s="6"/>
    </row>
    <row r="134" spans="1:1" ht="12.75" x14ac:dyDescent="0.2">
      <c r="A134" s="6"/>
    </row>
    <row r="135" spans="1:1" ht="12.75" x14ac:dyDescent="0.2">
      <c r="A135" s="6"/>
    </row>
    <row r="136" spans="1:1" ht="12.75" x14ac:dyDescent="0.2">
      <c r="A136" s="6"/>
    </row>
    <row r="137" spans="1:1" ht="12.75" x14ac:dyDescent="0.2">
      <c r="A137" s="6"/>
    </row>
    <row r="138" spans="1:1" ht="12.75" x14ac:dyDescent="0.2">
      <c r="A138" s="6"/>
    </row>
    <row r="139" spans="1:1" ht="12.75" x14ac:dyDescent="0.2">
      <c r="A139" s="6"/>
    </row>
    <row r="140" spans="1:1" ht="12.75" x14ac:dyDescent="0.2">
      <c r="A140" s="6"/>
    </row>
    <row r="141" spans="1:1" ht="12.75" x14ac:dyDescent="0.2">
      <c r="A141" s="6"/>
    </row>
    <row r="142" spans="1:1" ht="12.75" x14ac:dyDescent="0.2">
      <c r="A142" s="6"/>
    </row>
    <row r="143" spans="1:1" ht="12.75" x14ac:dyDescent="0.2">
      <c r="A143" s="6"/>
    </row>
    <row r="144" spans="1:1" ht="12.75" x14ac:dyDescent="0.2">
      <c r="A144" s="6"/>
    </row>
    <row r="145" spans="1:1" ht="12.75" x14ac:dyDescent="0.2">
      <c r="A145" s="6"/>
    </row>
    <row r="146" spans="1:1" ht="12.75" x14ac:dyDescent="0.2">
      <c r="A146" s="6"/>
    </row>
    <row r="147" spans="1:1" ht="12.75" x14ac:dyDescent="0.2">
      <c r="A147" s="6"/>
    </row>
    <row r="148" spans="1:1" ht="12.75" x14ac:dyDescent="0.2">
      <c r="A148" s="6"/>
    </row>
    <row r="149" spans="1:1" ht="12.75" x14ac:dyDescent="0.2">
      <c r="A149" s="6"/>
    </row>
    <row r="150" spans="1:1" ht="12.75" x14ac:dyDescent="0.2">
      <c r="A150" s="6"/>
    </row>
    <row r="151" spans="1:1" ht="12.75" x14ac:dyDescent="0.2">
      <c r="A151" s="6"/>
    </row>
    <row r="152" spans="1:1" ht="12.75" x14ac:dyDescent="0.2">
      <c r="A152" s="6"/>
    </row>
    <row r="153" spans="1:1" ht="12.75" x14ac:dyDescent="0.2">
      <c r="A153" s="6"/>
    </row>
    <row r="154" spans="1:1" ht="12.75" x14ac:dyDescent="0.2">
      <c r="A154" s="6"/>
    </row>
    <row r="155" spans="1:1" ht="12.75" x14ac:dyDescent="0.2">
      <c r="A155" s="6"/>
    </row>
    <row r="156" spans="1:1" ht="12.75" x14ac:dyDescent="0.2">
      <c r="A156" s="6"/>
    </row>
    <row r="157" spans="1:1" ht="12.75" x14ac:dyDescent="0.2">
      <c r="A157" s="6"/>
    </row>
    <row r="158" spans="1:1" ht="12.75" x14ac:dyDescent="0.2">
      <c r="A158" s="6"/>
    </row>
    <row r="159" spans="1:1" ht="12.75" x14ac:dyDescent="0.2">
      <c r="A159" s="6"/>
    </row>
    <row r="160" spans="1:1" ht="12.75" x14ac:dyDescent="0.2">
      <c r="A160" s="6"/>
    </row>
    <row r="161" spans="1:1" ht="12.75" x14ac:dyDescent="0.2">
      <c r="A161" s="6"/>
    </row>
    <row r="162" spans="1:1" ht="12.75" x14ac:dyDescent="0.2">
      <c r="A162" s="6"/>
    </row>
    <row r="163" spans="1:1" ht="12.75" x14ac:dyDescent="0.2">
      <c r="A163" s="6"/>
    </row>
    <row r="164" spans="1:1" ht="12.75" x14ac:dyDescent="0.2">
      <c r="A164" s="6"/>
    </row>
    <row r="165" spans="1:1" ht="12.75" x14ac:dyDescent="0.2">
      <c r="A165" s="6"/>
    </row>
    <row r="166" spans="1:1" ht="12.75" x14ac:dyDescent="0.2">
      <c r="A166" s="6"/>
    </row>
    <row r="167" spans="1:1" ht="12.75" x14ac:dyDescent="0.2">
      <c r="A167" s="6"/>
    </row>
    <row r="168" spans="1:1" ht="12.75" x14ac:dyDescent="0.2">
      <c r="A168" s="6"/>
    </row>
    <row r="169" spans="1:1" ht="12.75" x14ac:dyDescent="0.2">
      <c r="A169" s="6"/>
    </row>
    <row r="170" spans="1:1" ht="12.75" x14ac:dyDescent="0.2">
      <c r="A170" s="6"/>
    </row>
    <row r="171" spans="1:1" ht="12.75" x14ac:dyDescent="0.2">
      <c r="A171" s="6"/>
    </row>
    <row r="172" spans="1:1" ht="12.75" x14ac:dyDescent="0.2">
      <c r="A172" s="6"/>
    </row>
    <row r="173" spans="1:1" ht="12.75" x14ac:dyDescent="0.2">
      <c r="A173" s="6"/>
    </row>
    <row r="174" spans="1:1" ht="12.75" x14ac:dyDescent="0.2">
      <c r="A174" s="6"/>
    </row>
    <row r="175" spans="1:1" ht="12.75" x14ac:dyDescent="0.2">
      <c r="A175" s="6"/>
    </row>
    <row r="176" spans="1:1" ht="12.75" x14ac:dyDescent="0.2">
      <c r="A176" s="6"/>
    </row>
    <row r="177" spans="1:1" ht="12.75" x14ac:dyDescent="0.2">
      <c r="A177" s="6"/>
    </row>
    <row r="178" spans="1:1" ht="12.75" x14ac:dyDescent="0.2">
      <c r="A178" s="6"/>
    </row>
    <row r="179" spans="1:1" ht="12.75" x14ac:dyDescent="0.2">
      <c r="A179" s="6"/>
    </row>
    <row r="180" spans="1:1" ht="12.75" x14ac:dyDescent="0.2">
      <c r="A180" s="6"/>
    </row>
    <row r="181" spans="1:1" ht="12.75" x14ac:dyDescent="0.2">
      <c r="A181" s="6"/>
    </row>
    <row r="182" spans="1:1" ht="12.75" x14ac:dyDescent="0.2">
      <c r="A182" s="6"/>
    </row>
    <row r="183" spans="1:1" ht="12.75" x14ac:dyDescent="0.2">
      <c r="A183" s="6"/>
    </row>
    <row r="184" spans="1:1" ht="12.75" x14ac:dyDescent="0.2">
      <c r="A184" s="6"/>
    </row>
    <row r="185" spans="1:1" ht="12.75" x14ac:dyDescent="0.2">
      <c r="A185" s="6"/>
    </row>
    <row r="186" spans="1:1" ht="12.75" x14ac:dyDescent="0.2">
      <c r="A186" s="6"/>
    </row>
    <row r="187" spans="1:1" ht="12.75" x14ac:dyDescent="0.2">
      <c r="A187" s="6"/>
    </row>
    <row r="188" spans="1:1" ht="12.75" x14ac:dyDescent="0.2">
      <c r="A188" s="6"/>
    </row>
    <row r="189" spans="1:1" ht="12.75" x14ac:dyDescent="0.2">
      <c r="A189" s="6"/>
    </row>
    <row r="190" spans="1:1" ht="12.75" x14ac:dyDescent="0.2">
      <c r="A190" s="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showGridLines="0" workbookViewId="0">
      <selection activeCell="A3" sqref="A3:G14"/>
    </sheetView>
  </sheetViews>
  <sheetFormatPr defaultColWidth="17.28515625" defaultRowHeight="15" customHeight="1" x14ac:dyDescent="0.2"/>
  <cols>
    <col min="1" max="1" width="45.42578125" customWidth="1"/>
    <col min="2" max="7" width="11.85546875" customWidth="1"/>
  </cols>
  <sheetData>
    <row r="1" spans="1:8" ht="15" customHeight="1" x14ac:dyDescent="0.2">
      <c r="A1" s="149" t="s">
        <v>4</v>
      </c>
    </row>
    <row r="2" spans="1:8" ht="6.95" customHeight="1" x14ac:dyDescent="0.2">
      <c r="A2" s="91"/>
    </row>
    <row r="3" spans="1:8" ht="15" customHeight="1" x14ac:dyDescent="0.2">
      <c r="A3" s="129" t="s">
        <v>231</v>
      </c>
      <c r="B3" s="97" t="s">
        <v>125</v>
      </c>
      <c r="C3" s="97" t="s">
        <v>129</v>
      </c>
      <c r="D3" s="97" t="s">
        <v>130</v>
      </c>
      <c r="E3" s="97" t="s">
        <v>131</v>
      </c>
      <c r="F3" s="97" t="s">
        <v>132</v>
      </c>
      <c r="G3" s="97" t="s">
        <v>133</v>
      </c>
    </row>
    <row r="4" spans="1:8" ht="15" customHeight="1" x14ac:dyDescent="0.2">
      <c r="A4" s="154" t="s">
        <v>39</v>
      </c>
      <c r="B4" s="155">
        <f t="shared" ref="B4:G4" si="0">SUM(B5:B22)</f>
        <v>4500</v>
      </c>
      <c r="C4" s="155">
        <f t="shared" si="0"/>
        <v>72723.399999999994</v>
      </c>
      <c r="D4" s="155">
        <f t="shared" si="0"/>
        <v>86530.2</v>
      </c>
      <c r="E4" s="155">
        <f t="shared" si="0"/>
        <v>122854.00000000003</v>
      </c>
      <c r="F4" s="155">
        <f t="shared" si="0"/>
        <v>150921</v>
      </c>
      <c r="G4" s="155">
        <f t="shared" si="0"/>
        <v>179593.00000000006</v>
      </c>
    </row>
    <row r="5" spans="1:8" ht="15" customHeight="1" x14ac:dyDescent="0.2">
      <c r="A5" s="157" t="s">
        <v>45</v>
      </c>
      <c r="B5" s="101"/>
      <c r="C5" s="103">
        <v>50000</v>
      </c>
      <c r="D5" s="101">
        <f t="shared" ref="D5:G5" si="1">C5*1.1</f>
        <v>55000.000000000007</v>
      </c>
      <c r="E5" s="101">
        <f t="shared" si="1"/>
        <v>60500.000000000015</v>
      </c>
      <c r="F5" s="101">
        <f t="shared" si="1"/>
        <v>66550.000000000015</v>
      </c>
      <c r="G5" s="101">
        <f t="shared" si="1"/>
        <v>73205.000000000029</v>
      </c>
    </row>
    <row r="6" spans="1:8" ht="15" customHeight="1" x14ac:dyDescent="0.2">
      <c r="A6" s="157" t="s">
        <v>70</v>
      </c>
      <c r="B6" s="101"/>
      <c r="C6" s="103">
        <v>12000</v>
      </c>
      <c r="D6" s="101">
        <v>12000</v>
      </c>
      <c r="E6" s="101">
        <v>12000</v>
      </c>
      <c r="F6" s="101">
        <v>12000</v>
      </c>
      <c r="G6" s="101">
        <v>12000</v>
      </c>
    </row>
    <row r="7" spans="1:8" ht="15" customHeight="1" x14ac:dyDescent="0.2">
      <c r="A7" s="157" t="s">
        <v>71</v>
      </c>
      <c r="B7" s="101"/>
      <c r="C7" s="103">
        <f t="shared" ref="C7:G7" si="2">900/10*12</f>
        <v>1080</v>
      </c>
      <c r="D7" s="101">
        <f t="shared" si="2"/>
        <v>1080</v>
      </c>
      <c r="E7" s="101">
        <f t="shared" si="2"/>
        <v>1080</v>
      </c>
      <c r="F7" s="101">
        <f t="shared" si="2"/>
        <v>1080</v>
      </c>
      <c r="G7" s="101">
        <f t="shared" si="2"/>
        <v>1080</v>
      </c>
    </row>
    <row r="8" spans="1:8" ht="15" customHeight="1" x14ac:dyDescent="0.2">
      <c r="A8" s="157" t="s">
        <v>74</v>
      </c>
      <c r="B8" s="101"/>
      <c r="C8" s="103">
        <v>1000</v>
      </c>
      <c r="D8" s="101">
        <v>1000</v>
      </c>
      <c r="E8" s="101">
        <v>1000</v>
      </c>
      <c r="F8" s="101">
        <v>1000</v>
      </c>
      <c r="G8" s="101">
        <v>1000</v>
      </c>
    </row>
    <row r="9" spans="1:8" ht="15" customHeight="1" x14ac:dyDescent="0.2">
      <c r="A9" s="157" t="s">
        <v>75</v>
      </c>
      <c r="B9" s="101"/>
      <c r="C9" s="103">
        <f t="shared" ref="C9:G9" si="3">20*12</f>
        <v>240</v>
      </c>
      <c r="D9" s="101">
        <f t="shared" si="3"/>
        <v>240</v>
      </c>
      <c r="E9" s="101">
        <f t="shared" si="3"/>
        <v>240</v>
      </c>
      <c r="F9" s="101">
        <f t="shared" si="3"/>
        <v>240</v>
      </c>
      <c r="G9" s="101">
        <f t="shared" si="3"/>
        <v>240</v>
      </c>
    </row>
    <row r="10" spans="1:8" ht="15" customHeight="1" x14ac:dyDescent="0.2">
      <c r="A10" s="157" t="s">
        <v>77</v>
      </c>
      <c r="B10" s="101"/>
      <c r="C10" s="103">
        <f>10*12*'Cash Flow'!L8*0.5</f>
        <v>4403.3999999999996</v>
      </c>
      <c r="D10" s="101">
        <f>10*12*'Cash Flow'!M8*0.5</f>
        <v>13210.199999999999</v>
      </c>
      <c r="E10" s="101">
        <f>10*12*'Cash Flow'!N8*0.5</f>
        <v>44034.000000000007</v>
      </c>
      <c r="F10" s="101">
        <f>10*12*'Cash Flow'!O8*0.5</f>
        <v>66051</v>
      </c>
      <c r="G10" s="101">
        <f>10*12*'Cash Flow'!P8*0.5</f>
        <v>88068.000000000015</v>
      </c>
    </row>
    <row r="11" spans="1:8" ht="15" customHeight="1" x14ac:dyDescent="0.2">
      <c r="A11" s="157" t="s">
        <v>85</v>
      </c>
      <c r="B11" s="101">
        <v>1000</v>
      </c>
      <c r="C11" s="103">
        <v>1000</v>
      </c>
      <c r="D11" s="101">
        <v>1000</v>
      </c>
      <c r="E11" s="101">
        <v>1000</v>
      </c>
      <c r="F11" s="101">
        <v>1000</v>
      </c>
      <c r="G11" s="101">
        <v>1000</v>
      </c>
    </row>
    <row r="12" spans="1:8" ht="15" customHeight="1" x14ac:dyDescent="0.2">
      <c r="A12" s="157" t="s">
        <v>86</v>
      </c>
      <c r="B12" s="101">
        <v>1000</v>
      </c>
      <c r="C12" s="103">
        <v>3000</v>
      </c>
      <c r="D12" s="101">
        <v>3000</v>
      </c>
      <c r="E12" s="101">
        <v>3000</v>
      </c>
      <c r="F12" s="101">
        <v>3000</v>
      </c>
      <c r="G12" s="101">
        <v>3000</v>
      </c>
    </row>
    <row r="13" spans="1:8" ht="15" customHeight="1" x14ac:dyDescent="0.2">
      <c r="A13" s="157" t="s">
        <v>87</v>
      </c>
      <c r="B13" s="101">
        <v>2000</v>
      </c>
      <c r="C13" s="103"/>
      <c r="D13" s="101"/>
      <c r="E13" s="101"/>
      <c r="F13" s="101"/>
      <c r="G13" s="101"/>
    </row>
    <row r="14" spans="1:8" ht="15" customHeight="1" x14ac:dyDescent="0.2">
      <c r="A14" s="157" t="s">
        <v>88</v>
      </c>
      <c r="B14" s="101">
        <v>500</v>
      </c>
      <c r="C14" s="103"/>
      <c r="D14" s="101"/>
      <c r="E14" s="101"/>
      <c r="F14" s="101"/>
      <c r="G14" s="101"/>
    </row>
    <row r="15" spans="1:8" ht="15" customHeight="1" x14ac:dyDescent="0.2">
      <c r="H15" s="29"/>
    </row>
    <row r="16" spans="1:8" ht="15" customHeight="1" x14ac:dyDescent="0.2">
      <c r="B16" s="29"/>
      <c r="C16" s="29"/>
      <c r="D16" s="29"/>
      <c r="E16" s="29"/>
      <c r="F16" s="29"/>
      <c r="G16" s="29"/>
    </row>
    <row r="17" spans="2:7" ht="15" customHeight="1" x14ac:dyDescent="0.2">
      <c r="B17" s="29"/>
      <c r="C17" s="29"/>
      <c r="D17" s="29"/>
      <c r="E17" s="29"/>
      <c r="F17" s="29"/>
      <c r="G17" s="29"/>
    </row>
    <row r="18" spans="2:7" ht="15" customHeight="1" x14ac:dyDescent="0.2">
      <c r="B18" s="29"/>
      <c r="C18" s="29"/>
      <c r="D18" s="29"/>
      <c r="E18" s="29"/>
      <c r="F18" s="29"/>
      <c r="G18" s="29"/>
    </row>
    <row r="19" spans="2:7" ht="15" customHeight="1" x14ac:dyDescent="0.2">
      <c r="B19" s="29"/>
      <c r="C19" s="29"/>
      <c r="D19" s="29"/>
      <c r="E19" s="29"/>
      <c r="F19" s="29"/>
      <c r="G19" s="29"/>
    </row>
    <row r="20" spans="2:7" ht="15" customHeight="1" x14ac:dyDescent="0.2">
      <c r="B20" s="29"/>
      <c r="C20" s="29"/>
      <c r="D20" s="29"/>
      <c r="E20" s="29"/>
      <c r="F20" s="29"/>
      <c r="G20" s="29"/>
    </row>
    <row r="21" spans="2:7" ht="15" customHeight="1" x14ac:dyDescent="0.2">
      <c r="B21" s="29"/>
      <c r="C21" s="29"/>
      <c r="D21" s="29"/>
      <c r="E21" s="29"/>
      <c r="F21" s="29"/>
      <c r="G21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Market Research</vt:lpstr>
      <vt:lpstr>Cash Flow</vt:lpstr>
      <vt:lpstr>Viralization</vt:lpstr>
      <vt:lpstr>Tasa de descuento</vt:lpstr>
      <vt:lpstr>Ingresos por publicidad</vt:lpstr>
      <vt:lpstr>Sueldos</vt:lpstr>
      <vt:lpstr>Gastos de Producción</vt:lpstr>
      <vt:lpstr>Gastos de Marketing</vt:lpstr>
      <vt:lpstr>Gastos de Administración</vt:lpstr>
      <vt:lpstr>Google Engine</vt:lpstr>
      <vt:lpstr>Copy of Viralization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</dc:creator>
  <cp:lastModifiedBy>Ignacio Capalbo</cp:lastModifiedBy>
  <cp:lastPrinted>2015-05-14T05:10:01Z</cp:lastPrinted>
  <dcterms:created xsi:type="dcterms:W3CDTF">2015-05-11T23:56:02Z</dcterms:created>
  <dcterms:modified xsi:type="dcterms:W3CDTF">2015-06-25T23:29:42Z</dcterms:modified>
</cp:coreProperties>
</file>